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drawings/drawing3.xml" ContentType="application/vnd.openxmlformats-officedocument.drawing+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MARINDI\Desktop\Zimbabwe data Grid\Data\"/>
    </mc:Choice>
  </mc:AlternateContent>
  <xr:revisionPtr revIDLastSave="0" documentId="13_ncr:1_{E627FE1D-35DC-4121-A380-E1F7ED724C96}" xr6:coauthVersionLast="47" xr6:coauthVersionMax="47" xr10:uidLastSave="{00000000-0000-0000-0000-000000000000}"/>
  <bookViews>
    <workbookView xWindow="-120" yWindow="-120" windowWidth="20730" windowHeight="11160" tabRatio="903" xr2:uid="{350D379B-9E3E-437D-A7FC-1DBA32304459}"/>
  </bookViews>
  <sheets>
    <sheet name="Joint PiN analysis" sheetId="13" r:id="rId1"/>
    <sheet name="Guidance" sheetId="8" r:id="rId2"/>
    <sheet name="Indicator_Reference_Table" sheetId="12" r:id="rId3"/>
    <sheet name="Severity_Scale_Ref_Table_JIAF" sheetId="10" state="hidden" r:id="rId4"/>
    <sheet name="Baseline_2020 Population Proj" sheetId="1" r:id="rId5"/>
    <sheet name="PiN and Severity Methodology" sheetId="14" r:id="rId6"/>
    <sheet name="Joint Severity analysis" sheetId="4" r:id="rId7"/>
    <sheet name="Finacial Requirement" sheetId="18" r:id="rId8"/>
    <sheet name="Inter-Cluster Targets" sheetId="16" r:id="rId9"/>
    <sheet name="Cluster Severity PiN Targets" sheetId="7" r:id="rId10"/>
    <sheet name="Summary" sheetId="19" state="hidden" r:id="rId11"/>
    <sheet name="Sheet1" sheetId="15" state="hidden" r:id="rId12"/>
    <sheet name="Process" sheetId="11" state="hidden" r:id="rId13"/>
    <sheet name="Dropdown" sheetId="5" state="hidden" r:id="rId14"/>
    <sheet name="Population groups" sheetId="2" state="hidden" r:id="rId15"/>
    <sheet name="Response" sheetId="17" state="hidden" r:id="rId16"/>
    <sheet name="HNO_Analysis" sheetId="21" r:id="rId17"/>
    <sheet name="Breakdown" sheetId="20" r:id="rId18"/>
  </sheets>
  <definedNames>
    <definedName name="_xlnm._FilterDatabase" localSheetId="4" hidden="1">'Baseline_2020 Population Proj'!$A$1:$S$93</definedName>
    <definedName name="_xlnm._FilterDatabase" localSheetId="2" hidden="1">Indicator_Reference_Table!$A$1:$M$25</definedName>
    <definedName name="_xlnm._FilterDatabase" localSheetId="8" hidden="1">'Inter-Cluster Targets'!$AX$2:$AY$94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V11" i="13" l="1"/>
  <c r="N43" i="17" l="1"/>
  <c r="N34" i="17"/>
  <c r="N4" i="17"/>
  <c r="N3" i="17"/>
  <c r="N28" i="17"/>
  <c r="AE95" i="7" l="1"/>
  <c r="AF95" i="7"/>
  <c r="AF3" i="7"/>
  <c r="AF4" i="7"/>
  <c r="AF5" i="7"/>
  <c r="AF6" i="7"/>
  <c r="AF7" i="7"/>
  <c r="AF8" i="7"/>
  <c r="AF9" i="7"/>
  <c r="AF10" i="7"/>
  <c r="AF11" i="7"/>
  <c r="AF12" i="7"/>
  <c r="AF13" i="7"/>
  <c r="AF14" i="7"/>
  <c r="AF15" i="7"/>
  <c r="AF16" i="7"/>
  <c r="AF17" i="7"/>
  <c r="AF18" i="7"/>
  <c r="AF19" i="7"/>
  <c r="AF20" i="7"/>
  <c r="AF21" i="7"/>
  <c r="AF22" i="7"/>
  <c r="AF23" i="7"/>
  <c r="AF24" i="7"/>
  <c r="AF25" i="7"/>
  <c r="AF26" i="7"/>
  <c r="AF27" i="7"/>
  <c r="AF28" i="7"/>
  <c r="AF29" i="7"/>
  <c r="AF30" i="7"/>
  <c r="AF31" i="7"/>
  <c r="AF32" i="7"/>
  <c r="AF33" i="7"/>
  <c r="AF34" i="7"/>
  <c r="AF35" i="7"/>
  <c r="AF36" i="7"/>
  <c r="AF37" i="7"/>
  <c r="AF38" i="7"/>
  <c r="AF39" i="7"/>
  <c r="AF40" i="7"/>
  <c r="AF41" i="7"/>
  <c r="AF42" i="7"/>
  <c r="AF43" i="7"/>
  <c r="AF44" i="7"/>
  <c r="AF45" i="7"/>
  <c r="AF46" i="7"/>
  <c r="AF47" i="7"/>
  <c r="AF48" i="7"/>
  <c r="AF49" i="7"/>
  <c r="AF50" i="7"/>
  <c r="AF51" i="7"/>
  <c r="AF52" i="7"/>
  <c r="AF53" i="7"/>
  <c r="AF54" i="7"/>
  <c r="AF55" i="7"/>
  <c r="AF56" i="7"/>
  <c r="AF57" i="7"/>
  <c r="AF58" i="7"/>
  <c r="AF59" i="7"/>
  <c r="AF60" i="7"/>
  <c r="AF61" i="7"/>
  <c r="AF62" i="7"/>
  <c r="AF63" i="7"/>
  <c r="AF64" i="7"/>
  <c r="AF65" i="7"/>
  <c r="AF66" i="7"/>
  <c r="AF67" i="7"/>
  <c r="AF68" i="7"/>
  <c r="AF69" i="7"/>
  <c r="AF70" i="7"/>
  <c r="AF71" i="7"/>
  <c r="AF72" i="7"/>
  <c r="AF73" i="7"/>
  <c r="AF74" i="7"/>
  <c r="AF75" i="7"/>
  <c r="AF76" i="7"/>
  <c r="AF77" i="7"/>
  <c r="AF78" i="7"/>
  <c r="AF79" i="7"/>
  <c r="AF80" i="7"/>
  <c r="AF81" i="7"/>
  <c r="AF82" i="7"/>
  <c r="AF83" i="7"/>
  <c r="AF84" i="7"/>
  <c r="AF85" i="7"/>
  <c r="AF86" i="7"/>
  <c r="AF87" i="7"/>
  <c r="AF88" i="7"/>
  <c r="AF89" i="7"/>
  <c r="AF90" i="7"/>
  <c r="AF91" i="7"/>
  <c r="AF92" i="7"/>
  <c r="AF93" i="7"/>
  <c r="AF94" i="7"/>
  <c r="AE3" i="7"/>
  <c r="AE4" i="7"/>
  <c r="AE5" i="7"/>
  <c r="AE6"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AE87" i="7"/>
  <c r="AE88" i="7"/>
  <c r="AE89" i="7"/>
  <c r="AE90" i="7"/>
  <c r="AE91" i="7"/>
  <c r="AE92" i="7"/>
  <c r="AE93" i="7"/>
  <c r="AE94" i="7"/>
  <c r="AG12" i="21" l="1"/>
  <c r="AH12" i="21"/>
  <c r="AI12" i="21"/>
  <c r="AJ12" i="21"/>
  <c r="BF12" i="21" l="1"/>
  <c r="BD12" i="21"/>
  <c r="BB12" i="21"/>
  <c r="AU12" i="21" s="1"/>
  <c r="BF3" i="21"/>
  <c r="BF4" i="21"/>
  <c r="BF5" i="21"/>
  <c r="BF6" i="21"/>
  <c r="BF7" i="21"/>
  <c r="BF8" i="21"/>
  <c r="BF9" i="21"/>
  <c r="BF10" i="21"/>
  <c r="BF11" i="21"/>
  <c r="BF2" i="21"/>
  <c r="BD3" i="21"/>
  <c r="AY3" i="21" s="1"/>
  <c r="BD4" i="21"/>
  <c r="AY4" i="21" s="1"/>
  <c r="BD5" i="21"/>
  <c r="AY5" i="21" s="1"/>
  <c r="BD6" i="21"/>
  <c r="AW6" i="21" s="1"/>
  <c r="BD7" i="21"/>
  <c r="AW7" i="21" s="1"/>
  <c r="BD8" i="21"/>
  <c r="AY8" i="21" s="1"/>
  <c r="BD9" i="21"/>
  <c r="AY9" i="21" s="1"/>
  <c r="BD10" i="21"/>
  <c r="AY10" i="21" s="1"/>
  <c r="BD11" i="21"/>
  <c r="AY11" i="21" s="1"/>
  <c r="BD2" i="21"/>
  <c r="AY2" i="21" s="1"/>
  <c r="BB3" i="21"/>
  <c r="BB4" i="21"/>
  <c r="BB5" i="21"/>
  <c r="BB6" i="21"/>
  <c r="BB7" i="21"/>
  <c r="BB8" i="21"/>
  <c r="BB9" i="21"/>
  <c r="BB10" i="21"/>
  <c r="BB11" i="21"/>
  <c r="BB2" i="21"/>
  <c r="AR213" i="20"/>
  <c r="AS213" i="20"/>
  <c r="AP213" i="20"/>
  <c r="AC45" i="4"/>
  <c r="AB45" i="4"/>
  <c r="BA4" i="13"/>
  <c r="BA5" i="13"/>
  <c r="BA6" i="13"/>
  <c r="BA7" i="13"/>
  <c r="BA8" i="13"/>
  <c r="BA9" i="13"/>
  <c r="BA10" i="13"/>
  <c r="BA11" i="13"/>
  <c r="BA12" i="13"/>
  <c r="BA13" i="13"/>
  <c r="BA14" i="13"/>
  <c r="BA15" i="13"/>
  <c r="BA16" i="13"/>
  <c r="BA17" i="13"/>
  <c r="BA18" i="13"/>
  <c r="BA19" i="13"/>
  <c r="BA20" i="13"/>
  <c r="BA21" i="13"/>
  <c r="BA22" i="13"/>
  <c r="BA23" i="13"/>
  <c r="BA24" i="13"/>
  <c r="BA25" i="13"/>
  <c r="BA26" i="13"/>
  <c r="BA27" i="13"/>
  <c r="BA28" i="13"/>
  <c r="BA29" i="13"/>
  <c r="BA30" i="13"/>
  <c r="BA31" i="13"/>
  <c r="BA32" i="13"/>
  <c r="BA33" i="13"/>
  <c r="BA34" i="13"/>
  <c r="BA35" i="13"/>
  <c r="BA36" i="13"/>
  <c r="BA37" i="13"/>
  <c r="BA38" i="13"/>
  <c r="BA39" i="13"/>
  <c r="BA40" i="13"/>
  <c r="BA41" i="13"/>
  <c r="BA42" i="13"/>
  <c r="BA43" i="13"/>
  <c r="BA44" i="13"/>
  <c r="BA45" i="13"/>
  <c r="BA46" i="13"/>
  <c r="BA47" i="13"/>
  <c r="BA48" i="13"/>
  <c r="BA49" i="13"/>
  <c r="BA50" i="13"/>
  <c r="BA51" i="13"/>
  <c r="BA52" i="13"/>
  <c r="BA53" i="13"/>
  <c r="BA54" i="13"/>
  <c r="BA55" i="13"/>
  <c r="BA56" i="13"/>
  <c r="BA57" i="13"/>
  <c r="BA58" i="13"/>
  <c r="BA59" i="13"/>
  <c r="BA60" i="13"/>
  <c r="BA61" i="13"/>
  <c r="BA62" i="13"/>
  <c r="BA63" i="13"/>
  <c r="BA64" i="13"/>
  <c r="BA65" i="13"/>
  <c r="BA66" i="13"/>
  <c r="BA67" i="13"/>
  <c r="BA68" i="13"/>
  <c r="BA69" i="13"/>
  <c r="BA70" i="13"/>
  <c r="BA71" i="13"/>
  <c r="BA72" i="13"/>
  <c r="BA73" i="13"/>
  <c r="BA74" i="13"/>
  <c r="BA75" i="13"/>
  <c r="BA76" i="13"/>
  <c r="BA77" i="13"/>
  <c r="BA78" i="13"/>
  <c r="BA79" i="13"/>
  <c r="BA80" i="13"/>
  <c r="BA81" i="13"/>
  <c r="BA82" i="13"/>
  <c r="BA83" i="13"/>
  <c r="BA84" i="13"/>
  <c r="BA85" i="13"/>
  <c r="BA86" i="13"/>
  <c r="BA87" i="13"/>
  <c r="BA88" i="13"/>
  <c r="BA89" i="13"/>
  <c r="BA90" i="13"/>
  <c r="BA91" i="13"/>
  <c r="BA92" i="13"/>
  <c r="BA93" i="13"/>
  <c r="BA94" i="13"/>
  <c r="BA3" i="13"/>
  <c r="AY7" i="21" l="1"/>
  <c r="AY6" i="21"/>
  <c r="AW2" i="21"/>
  <c r="AW5" i="21"/>
  <c r="AW4" i="21"/>
  <c r="AW11" i="21"/>
  <c r="AW3" i="21"/>
  <c r="AW10" i="21"/>
  <c r="AW9" i="21"/>
  <c r="AW8" i="21"/>
  <c r="AS12" i="21"/>
  <c r="AY12" i="21" l="1"/>
  <c r="AW12" i="21"/>
  <c r="AQ2" i="21" l="1"/>
  <c r="AQ11" i="21"/>
  <c r="AQ3" i="21"/>
  <c r="AQ4" i="21"/>
  <c r="AQ5" i="21"/>
  <c r="AQ6" i="21"/>
  <c r="AQ7" i="21"/>
  <c r="AQ8" i="21"/>
  <c r="AQ9" i="21"/>
  <c r="AQ10" i="21"/>
  <c r="AP3" i="20"/>
  <c r="AS3" i="20"/>
  <c r="AO3" i="20"/>
  <c r="AO24" i="20"/>
  <c r="AO45" i="20"/>
  <c r="AO66" i="20"/>
  <c r="AO87" i="20"/>
  <c r="AO108" i="20"/>
  <c r="AO129" i="20"/>
  <c r="AO150" i="20"/>
  <c r="AO171" i="20"/>
  <c r="AO192" i="20"/>
  <c r="AO213" i="20"/>
  <c r="AN213" i="20"/>
  <c r="AM213" i="20"/>
  <c r="AL213" i="20"/>
  <c r="AN192" i="20"/>
  <c r="AM192" i="20"/>
  <c r="AL192" i="20"/>
  <c r="AN171" i="20"/>
  <c r="AM171" i="20"/>
  <c r="AL171" i="20"/>
  <c r="AN150" i="20"/>
  <c r="AM150" i="20"/>
  <c r="AL150" i="20"/>
  <c r="AN129" i="20"/>
  <c r="AM129" i="20"/>
  <c r="AL129" i="20"/>
  <c r="AN108" i="20"/>
  <c r="AM108" i="20"/>
  <c r="AL108" i="20"/>
  <c r="AN87" i="20"/>
  <c r="AL87" i="20"/>
  <c r="AM87" i="20"/>
  <c r="AN66" i="20"/>
  <c r="AM66" i="20"/>
  <c r="AL66" i="20"/>
  <c r="AN45" i="20"/>
  <c r="AM45" i="20"/>
  <c r="AL45" i="20"/>
  <c r="AN24" i="20"/>
  <c r="AM24" i="20"/>
  <c r="AL24" i="20"/>
  <c r="AN3" i="20"/>
  <c r="AM3" i="20"/>
  <c r="AL3" i="20"/>
  <c r="AK3" i="20"/>
  <c r="F94" i="1"/>
  <c r="G94" i="1"/>
  <c r="H94" i="1"/>
  <c r="I94" i="1"/>
  <c r="J94" i="1"/>
  <c r="K94" i="1"/>
  <c r="L94" i="1"/>
  <c r="M94" i="1"/>
  <c r="N94" i="1"/>
  <c r="O94" i="1"/>
  <c r="P94" i="1"/>
  <c r="Q94" i="1"/>
  <c r="R94" i="1"/>
  <c r="S94" i="1"/>
  <c r="I9" i="1"/>
  <c r="I10" i="1"/>
  <c r="I11" i="1"/>
  <c r="I12" i="1"/>
  <c r="I13" i="1"/>
  <c r="I14" i="1"/>
  <c r="I15" i="1"/>
  <c r="I16" i="1"/>
  <c r="I17" i="1"/>
  <c r="AF12" i="21"/>
  <c r="AL11" i="21"/>
  <c r="AM11" i="21" s="1"/>
  <c r="AL10" i="21"/>
  <c r="AM10" i="21" s="1"/>
  <c r="AL9" i="21"/>
  <c r="AM9" i="21" s="1"/>
  <c r="AL8" i="21"/>
  <c r="AM8" i="21" s="1"/>
  <c r="AL7" i="21"/>
  <c r="AM7" i="21" s="1"/>
  <c r="AL6" i="21"/>
  <c r="AM6" i="21" s="1"/>
  <c r="AL5" i="21"/>
  <c r="AM5" i="21" s="1"/>
  <c r="AL4" i="21"/>
  <c r="AM4" i="21" s="1"/>
  <c r="AL3" i="21"/>
  <c r="AM3" i="21" s="1"/>
  <c r="AL2" i="21"/>
  <c r="AM2" i="21" s="1"/>
  <c r="BC32" i="13"/>
  <c r="BC85" i="13"/>
  <c r="AS9" i="21" l="1"/>
  <c r="AU9" i="21"/>
  <c r="AU7" i="21"/>
  <c r="AS7" i="21"/>
  <c r="AU2" i="21"/>
  <c r="AS2" i="21"/>
  <c r="AS8" i="21"/>
  <c r="AU8" i="21"/>
  <c r="AU6" i="21"/>
  <c r="AS6" i="21"/>
  <c r="AU11" i="21"/>
  <c r="AS11" i="21"/>
  <c r="AU5" i="21"/>
  <c r="AS5" i="21"/>
  <c r="AU4" i="21"/>
  <c r="AS4" i="21"/>
  <c r="AS10" i="21"/>
  <c r="AU10" i="21"/>
  <c r="AU3" i="21"/>
  <c r="AS3" i="21"/>
  <c r="AM12" i="21"/>
  <c r="AM13" i="21" s="1"/>
  <c r="AL12" i="21"/>
  <c r="AL13" i="21" s="1"/>
  <c r="AH230" i="20" l="1"/>
  <c r="AG230" i="20"/>
  <c r="AF230" i="20"/>
  <c r="AE230" i="20"/>
  <c r="AD230" i="20"/>
  <c r="AC230" i="20"/>
  <c r="AB230" i="20"/>
  <c r="AA230" i="20"/>
  <c r="Z230" i="20"/>
  <c r="AI213" i="20" s="1"/>
  <c r="Y230" i="20"/>
  <c r="W230" i="20"/>
  <c r="V230" i="20"/>
  <c r="U230" i="20"/>
  <c r="T230" i="20"/>
  <c r="S230" i="20"/>
  <c r="R230" i="20"/>
  <c r="Q230" i="20"/>
  <c r="P230" i="20"/>
  <c r="X230" i="20" s="1"/>
  <c r="O230" i="20"/>
  <c r="N230" i="20"/>
  <c r="M230" i="20"/>
  <c r="L230" i="20"/>
  <c r="K230" i="20"/>
  <c r="J230" i="20"/>
  <c r="I230" i="20"/>
  <c r="H230" i="20"/>
  <c r="G230" i="20"/>
  <c r="F230" i="20"/>
  <c r="E230" i="20"/>
  <c r="AH229" i="20"/>
  <c r="AG229" i="20"/>
  <c r="AF229" i="20"/>
  <c r="AE229" i="20"/>
  <c r="AD229" i="20"/>
  <c r="AC229" i="20"/>
  <c r="AB229" i="20"/>
  <c r="AA229" i="20"/>
  <c r="Z229" i="20"/>
  <c r="Y229" i="20"/>
  <c r="W229" i="20"/>
  <c r="V229" i="20"/>
  <c r="U229" i="20"/>
  <c r="T229" i="20"/>
  <c r="S229" i="20"/>
  <c r="R229" i="20"/>
  <c r="Q229" i="20"/>
  <c r="P229" i="20"/>
  <c r="X229" i="20" s="1"/>
  <c r="O229" i="20"/>
  <c r="N229" i="20"/>
  <c r="M229" i="20"/>
  <c r="L229" i="20"/>
  <c r="K229" i="20"/>
  <c r="J229" i="20"/>
  <c r="I229" i="20"/>
  <c r="H229" i="20"/>
  <c r="G229" i="20"/>
  <c r="F229" i="20"/>
  <c r="E229" i="20"/>
  <c r="AH228" i="20"/>
  <c r="AG228" i="20"/>
  <c r="AF228" i="20"/>
  <c r="AE228" i="20"/>
  <c r="AD228" i="20"/>
  <c r="AC228" i="20"/>
  <c r="AB228" i="20"/>
  <c r="AA228" i="20"/>
  <c r="Z228" i="20"/>
  <c r="Y228" i="20"/>
  <c r="W228" i="20"/>
  <c r="V228" i="20"/>
  <c r="U228" i="20"/>
  <c r="T228" i="20"/>
  <c r="S228" i="20"/>
  <c r="R228" i="20"/>
  <c r="Q228" i="20"/>
  <c r="P228" i="20"/>
  <c r="X228" i="20" s="1"/>
  <c r="O228" i="20"/>
  <c r="N228" i="20"/>
  <c r="M228" i="20"/>
  <c r="L228" i="20"/>
  <c r="K228" i="20"/>
  <c r="J228" i="20"/>
  <c r="I228" i="20"/>
  <c r="H228" i="20"/>
  <c r="G228" i="20"/>
  <c r="F228" i="20"/>
  <c r="E228" i="20"/>
  <c r="AH227" i="20"/>
  <c r="AG227" i="20"/>
  <c r="AF227" i="20"/>
  <c r="AE227" i="20"/>
  <c r="AD227" i="20"/>
  <c r="AC227" i="20"/>
  <c r="AB227" i="20"/>
  <c r="AA227" i="20"/>
  <c r="Z227" i="20"/>
  <c r="Y227" i="20"/>
  <c r="W227" i="20"/>
  <c r="V227" i="20"/>
  <c r="U227" i="20"/>
  <c r="T227" i="20"/>
  <c r="S227" i="20"/>
  <c r="R227" i="20"/>
  <c r="Q227" i="20"/>
  <c r="P227" i="20"/>
  <c r="X227" i="20" s="1"/>
  <c r="O227" i="20"/>
  <c r="N227" i="20"/>
  <c r="M227" i="20"/>
  <c r="L227" i="20"/>
  <c r="K227" i="20"/>
  <c r="J227" i="20"/>
  <c r="I227" i="20"/>
  <c r="H227" i="20"/>
  <c r="G227" i="20"/>
  <c r="F227" i="20"/>
  <c r="E227" i="20"/>
  <c r="AH226" i="20"/>
  <c r="AG226" i="20"/>
  <c r="AF226" i="20"/>
  <c r="AE226" i="20"/>
  <c r="AD226" i="20"/>
  <c r="AC226" i="20"/>
  <c r="AB226" i="20"/>
  <c r="AA226" i="20"/>
  <c r="Z226" i="20"/>
  <c r="Y226" i="20"/>
  <c r="W226" i="20"/>
  <c r="V226" i="20"/>
  <c r="U226" i="20"/>
  <c r="T226" i="20"/>
  <c r="S226" i="20"/>
  <c r="R226" i="20"/>
  <c r="Q226" i="20"/>
  <c r="P226" i="20"/>
  <c r="X226" i="20" s="1"/>
  <c r="O226" i="20"/>
  <c r="N226" i="20"/>
  <c r="M226" i="20"/>
  <c r="L226" i="20"/>
  <c r="K226" i="20"/>
  <c r="J226" i="20"/>
  <c r="I226" i="20"/>
  <c r="H226" i="20"/>
  <c r="G226" i="20"/>
  <c r="F226" i="20"/>
  <c r="E226" i="20"/>
  <c r="AH225" i="20"/>
  <c r="AG225" i="20"/>
  <c r="AF225" i="20"/>
  <c r="AE225" i="20"/>
  <c r="AD225" i="20"/>
  <c r="AC225" i="20"/>
  <c r="AB225" i="20"/>
  <c r="AA225" i="20"/>
  <c r="Z225" i="20"/>
  <c r="Y225" i="20"/>
  <c r="W225" i="20"/>
  <c r="V225" i="20"/>
  <c r="U225" i="20"/>
  <c r="T225" i="20"/>
  <c r="S225" i="20"/>
  <c r="R225" i="20"/>
  <c r="Q225" i="20"/>
  <c r="P225" i="20"/>
  <c r="X225" i="20" s="1"/>
  <c r="O225" i="20"/>
  <c r="N225" i="20"/>
  <c r="M225" i="20"/>
  <c r="L225" i="20"/>
  <c r="K225" i="20"/>
  <c r="J225" i="20"/>
  <c r="I225" i="20"/>
  <c r="H225" i="20"/>
  <c r="G225" i="20"/>
  <c r="F225" i="20"/>
  <c r="E225" i="20"/>
  <c r="AH224" i="20"/>
  <c r="AG224" i="20"/>
  <c r="AF224" i="20"/>
  <c r="AE224" i="20"/>
  <c r="AD224" i="20"/>
  <c r="AC224" i="20"/>
  <c r="AB224" i="20"/>
  <c r="AA224" i="20"/>
  <c r="Z224" i="20"/>
  <c r="Y224" i="20"/>
  <c r="W224" i="20"/>
  <c r="V224" i="20"/>
  <c r="U224" i="20"/>
  <c r="T224" i="20"/>
  <c r="S224" i="20"/>
  <c r="R224" i="20"/>
  <c r="Q224" i="20"/>
  <c r="P224" i="20"/>
  <c r="X224" i="20" s="1"/>
  <c r="O224" i="20"/>
  <c r="N224" i="20"/>
  <c r="M224" i="20"/>
  <c r="L224" i="20"/>
  <c r="K224" i="20"/>
  <c r="J224" i="20"/>
  <c r="I224" i="20"/>
  <c r="H224" i="20"/>
  <c r="G224" i="20"/>
  <c r="F224" i="20"/>
  <c r="E224" i="20"/>
  <c r="AH223" i="20"/>
  <c r="AG223" i="20"/>
  <c r="AF223" i="20"/>
  <c r="AE223" i="20"/>
  <c r="AD223" i="20"/>
  <c r="AC223" i="20"/>
  <c r="AB223" i="20"/>
  <c r="AA223" i="20"/>
  <c r="Z223" i="20"/>
  <c r="Y223" i="20"/>
  <c r="W223" i="20"/>
  <c r="V223" i="20"/>
  <c r="U223" i="20"/>
  <c r="T223" i="20"/>
  <c r="S223" i="20"/>
  <c r="R223" i="20"/>
  <c r="Q223" i="20"/>
  <c r="P223" i="20"/>
  <c r="X223" i="20" s="1"/>
  <c r="O223" i="20"/>
  <c r="N223" i="20"/>
  <c r="M223" i="20"/>
  <c r="L223" i="20"/>
  <c r="K223" i="20"/>
  <c r="J223" i="20"/>
  <c r="I223" i="20"/>
  <c r="H223" i="20"/>
  <c r="G223" i="20"/>
  <c r="F223" i="20"/>
  <c r="E223" i="20"/>
  <c r="AH222" i="20"/>
  <c r="AG222" i="20"/>
  <c r="AF222" i="20"/>
  <c r="AE222" i="20"/>
  <c r="AD222" i="20"/>
  <c r="AC222" i="20"/>
  <c r="AB222" i="20"/>
  <c r="AA222" i="20"/>
  <c r="Z222" i="20"/>
  <c r="Y222" i="20"/>
  <c r="W222" i="20"/>
  <c r="V222" i="20"/>
  <c r="U222" i="20"/>
  <c r="T222" i="20"/>
  <c r="S222" i="20"/>
  <c r="R222" i="20"/>
  <c r="Q222" i="20"/>
  <c r="P222" i="20"/>
  <c r="X222" i="20" s="1"/>
  <c r="O222" i="20"/>
  <c r="N222" i="20"/>
  <c r="M222" i="20"/>
  <c r="L222" i="20"/>
  <c r="K222" i="20"/>
  <c r="J222" i="20"/>
  <c r="I222" i="20"/>
  <c r="H222" i="20"/>
  <c r="G222" i="20"/>
  <c r="F222" i="20"/>
  <c r="E222" i="20"/>
  <c r="AH221" i="20"/>
  <c r="AG221" i="20"/>
  <c r="AF221" i="20"/>
  <c r="AE221" i="20"/>
  <c r="AD221" i="20"/>
  <c r="AC221" i="20"/>
  <c r="AB221" i="20"/>
  <c r="AA221" i="20"/>
  <c r="Z221" i="20"/>
  <c r="Y221" i="20"/>
  <c r="W221" i="20"/>
  <c r="V221" i="20"/>
  <c r="U221" i="20"/>
  <c r="T221" i="20"/>
  <c r="S221" i="20"/>
  <c r="R221" i="20"/>
  <c r="Q221" i="20"/>
  <c r="P221" i="20"/>
  <c r="X221" i="20" s="1"/>
  <c r="O221" i="20"/>
  <c r="N221" i="20"/>
  <c r="M221" i="20"/>
  <c r="L221" i="20"/>
  <c r="K221" i="20"/>
  <c r="J221" i="20"/>
  <c r="I221" i="20"/>
  <c r="H221" i="20"/>
  <c r="G221" i="20"/>
  <c r="F221" i="20"/>
  <c r="E221" i="20"/>
  <c r="AH220" i="20"/>
  <c r="AG220" i="20"/>
  <c r="AF220" i="20"/>
  <c r="AE220" i="20"/>
  <c r="AD220" i="20"/>
  <c r="AC220" i="20"/>
  <c r="AB220" i="20"/>
  <c r="AA220" i="20"/>
  <c r="Z220" i="20"/>
  <c r="Y220" i="20"/>
  <c r="W220" i="20"/>
  <c r="V220" i="20"/>
  <c r="U220" i="20"/>
  <c r="T220" i="20"/>
  <c r="S220" i="20"/>
  <c r="R220" i="20"/>
  <c r="Q220" i="20"/>
  <c r="P220" i="20"/>
  <c r="X220" i="20" s="1"/>
  <c r="O220" i="20"/>
  <c r="N220" i="20"/>
  <c r="M220" i="20"/>
  <c r="L220" i="20"/>
  <c r="K220" i="20"/>
  <c r="J220" i="20"/>
  <c r="I220" i="20"/>
  <c r="H220" i="20"/>
  <c r="G220" i="20"/>
  <c r="F220" i="20"/>
  <c r="E220" i="20"/>
  <c r="AH219" i="20"/>
  <c r="AG219" i="20"/>
  <c r="AF219" i="20"/>
  <c r="AE219" i="20"/>
  <c r="AD219" i="20"/>
  <c r="AC219" i="20"/>
  <c r="AB219" i="20"/>
  <c r="AA219" i="20"/>
  <c r="Z219" i="20"/>
  <c r="Y219" i="20"/>
  <c r="W219" i="20"/>
  <c r="V219" i="20"/>
  <c r="U219" i="20"/>
  <c r="T219" i="20"/>
  <c r="S219" i="20"/>
  <c r="R219" i="20"/>
  <c r="Q219" i="20"/>
  <c r="P219" i="20"/>
  <c r="X219" i="20" s="1"/>
  <c r="O219" i="20"/>
  <c r="N219" i="20"/>
  <c r="M219" i="20"/>
  <c r="L219" i="20"/>
  <c r="K219" i="20"/>
  <c r="J219" i="20"/>
  <c r="I219" i="20"/>
  <c r="H219" i="20"/>
  <c r="G219" i="20"/>
  <c r="F219" i="20"/>
  <c r="E219" i="20"/>
  <c r="AH218" i="20"/>
  <c r="AG218" i="20"/>
  <c r="AF218" i="20"/>
  <c r="AE218" i="20"/>
  <c r="AD218" i="20"/>
  <c r="AC218" i="20"/>
  <c r="AB218" i="20"/>
  <c r="AA218" i="20"/>
  <c r="Z218" i="20"/>
  <c r="Y218" i="20"/>
  <c r="W218" i="20"/>
  <c r="V218" i="20"/>
  <c r="U218" i="20"/>
  <c r="T218" i="20"/>
  <c r="S218" i="20"/>
  <c r="R218" i="20"/>
  <c r="Q218" i="20"/>
  <c r="P218" i="20"/>
  <c r="X218" i="20" s="1"/>
  <c r="O218" i="20"/>
  <c r="N218" i="20"/>
  <c r="M218" i="20"/>
  <c r="L218" i="20"/>
  <c r="K218" i="20"/>
  <c r="J218" i="20"/>
  <c r="I218" i="20"/>
  <c r="H218" i="20"/>
  <c r="G218" i="20"/>
  <c r="F218" i="20"/>
  <c r="E218" i="20"/>
  <c r="AH217" i="20"/>
  <c r="AG217" i="20"/>
  <c r="AF217" i="20"/>
  <c r="AE217" i="20"/>
  <c r="AD217" i="20"/>
  <c r="AC217" i="20"/>
  <c r="AB217" i="20"/>
  <c r="AA217" i="20"/>
  <c r="Z217" i="20"/>
  <c r="Y217" i="20"/>
  <c r="W217" i="20"/>
  <c r="V217" i="20"/>
  <c r="U217" i="20"/>
  <c r="T217" i="20"/>
  <c r="S217" i="20"/>
  <c r="R217" i="20"/>
  <c r="Q217" i="20"/>
  <c r="P217" i="20"/>
  <c r="X217" i="20" s="1"/>
  <c r="O217" i="20"/>
  <c r="N217" i="20"/>
  <c r="M217" i="20"/>
  <c r="L217" i="20"/>
  <c r="K217" i="20"/>
  <c r="J217" i="20"/>
  <c r="I217" i="20"/>
  <c r="H217" i="20"/>
  <c r="G217" i="20"/>
  <c r="F217" i="20"/>
  <c r="E217" i="20"/>
  <c r="AH216" i="20"/>
  <c r="AG216" i="20"/>
  <c r="AF216" i="20"/>
  <c r="AE216" i="20"/>
  <c r="AD216" i="20"/>
  <c r="AC216" i="20"/>
  <c r="AB216" i="20"/>
  <c r="AA216" i="20"/>
  <c r="Z216" i="20"/>
  <c r="Y216" i="20"/>
  <c r="W216" i="20"/>
  <c r="V216" i="20"/>
  <c r="U216" i="20"/>
  <c r="T216" i="20"/>
  <c r="S216" i="20"/>
  <c r="R216" i="20"/>
  <c r="Q216" i="20"/>
  <c r="P216" i="20"/>
  <c r="X216" i="20" s="1"/>
  <c r="O216" i="20"/>
  <c r="N216" i="20"/>
  <c r="M216" i="20"/>
  <c r="L216" i="20"/>
  <c r="K216" i="20"/>
  <c r="J216" i="20"/>
  <c r="I216" i="20"/>
  <c r="H216" i="20"/>
  <c r="G216" i="20"/>
  <c r="F216" i="20"/>
  <c r="E216" i="20"/>
  <c r="AH215" i="20"/>
  <c r="AG215" i="20"/>
  <c r="AF215" i="20"/>
  <c r="AE215" i="20"/>
  <c r="AD215" i="20"/>
  <c r="AC215" i="20"/>
  <c r="AB215" i="20"/>
  <c r="AA215" i="20"/>
  <c r="Z215" i="20"/>
  <c r="Y215" i="20"/>
  <c r="W215" i="20"/>
  <c r="V215" i="20"/>
  <c r="U215" i="20"/>
  <c r="T215" i="20"/>
  <c r="S215" i="20"/>
  <c r="R215" i="20"/>
  <c r="Q215" i="20"/>
  <c r="P215" i="20"/>
  <c r="X215" i="20" s="1"/>
  <c r="O215" i="20"/>
  <c r="N215" i="20"/>
  <c r="M215" i="20"/>
  <c r="L215" i="20"/>
  <c r="K215" i="20"/>
  <c r="J215" i="20"/>
  <c r="I215" i="20"/>
  <c r="H215" i="20"/>
  <c r="G215" i="20"/>
  <c r="F215" i="20"/>
  <c r="E215" i="20"/>
  <c r="AH214" i="20"/>
  <c r="AG214" i="20"/>
  <c r="AF214" i="20"/>
  <c r="AE214" i="20"/>
  <c r="AD214" i="20"/>
  <c r="AC214" i="20"/>
  <c r="AB214" i="20"/>
  <c r="AA214" i="20"/>
  <c r="Z214" i="20"/>
  <c r="Y214" i="20"/>
  <c r="W214" i="20"/>
  <c r="V214" i="20"/>
  <c r="U214" i="20"/>
  <c r="T214" i="20"/>
  <c r="S214" i="20"/>
  <c r="R214" i="20"/>
  <c r="Q214" i="20"/>
  <c r="P214" i="20"/>
  <c r="X214" i="20" s="1"/>
  <c r="O214" i="20"/>
  <c r="N214" i="20"/>
  <c r="M214" i="20"/>
  <c r="L214" i="20"/>
  <c r="K214" i="20"/>
  <c r="J214" i="20"/>
  <c r="I214" i="20"/>
  <c r="H214" i="20"/>
  <c r="G214" i="20"/>
  <c r="F214" i="20"/>
  <c r="E214" i="20"/>
  <c r="AH213" i="20"/>
  <c r="AG213" i="20"/>
  <c r="AF213" i="20"/>
  <c r="AE213" i="20"/>
  <c r="AD213" i="20"/>
  <c r="AC213" i="20"/>
  <c r="AB213" i="20"/>
  <c r="AK213" i="20" s="1"/>
  <c r="AA213" i="20"/>
  <c r="Z213" i="20"/>
  <c r="Y213" i="20"/>
  <c r="W213" i="20"/>
  <c r="V213" i="20"/>
  <c r="U213" i="20"/>
  <c r="T213" i="20"/>
  <c r="S213" i="20"/>
  <c r="R213" i="20"/>
  <c r="Q213" i="20"/>
  <c r="P213" i="20"/>
  <c r="X213" i="20" s="1"/>
  <c r="O213" i="20"/>
  <c r="N213" i="20"/>
  <c r="M213" i="20"/>
  <c r="L213" i="20"/>
  <c r="K213" i="20"/>
  <c r="J213" i="20"/>
  <c r="I213" i="20"/>
  <c r="H213" i="20"/>
  <c r="G213" i="20"/>
  <c r="F213" i="20"/>
  <c r="E213" i="20"/>
  <c r="AH209" i="20"/>
  <c r="AG209" i="20"/>
  <c r="AF209" i="20"/>
  <c r="AE209" i="20"/>
  <c r="AD209" i="20"/>
  <c r="AC209" i="20"/>
  <c r="AB209" i="20"/>
  <c r="AA209" i="20"/>
  <c r="Z209" i="20"/>
  <c r="Y209" i="20"/>
  <c r="W209" i="20"/>
  <c r="V209" i="20"/>
  <c r="U209" i="20"/>
  <c r="T209" i="20"/>
  <c r="S209" i="20"/>
  <c r="R209" i="20"/>
  <c r="Q209" i="20"/>
  <c r="P209" i="20"/>
  <c r="X209" i="20" s="1"/>
  <c r="O209" i="20"/>
  <c r="N209" i="20"/>
  <c r="M209" i="20"/>
  <c r="L209" i="20"/>
  <c r="K209" i="20"/>
  <c r="J209" i="20"/>
  <c r="I209" i="20"/>
  <c r="H209" i="20"/>
  <c r="G209" i="20"/>
  <c r="F209" i="20"/>
  <c r="E209" i="20"/>
  <c r="AH208" i="20"/>
  <c r="AG208" i="20"/>
  <c r="AF208" i="20"/>
  <c r="AE208" i="20"/>
  <c r="AD208" i="20"/>
  <c r="AC208" i="20"/>
  <c r="AB208" i="20"/>
  <c r="AA208" i="20"/>
  <c r="Z208" i="20"/>
  <c r="Y208" i="20"/>
  <c r="W208" i="20"/>
  <c r="V208" i="20"/>
  <c r="U208" i="20"/>
  <c r="T208" i="20"/>
  <c r="S208" i="20"/>
  <c r="R208" i="20"/>
  <c r="Q208" i="20"/>
  <c r="P208" i="20"/>
  <c r="X208" i="20" s="1"/>
  <c r="O208" i="20"/>
  <c r="N208" i="20"/>
  <c r="M208" i="20"/>
  <c r="L208" i="20"/>
  <c r="K208" i="20"/>
  <c r="J208" i="20"/>
  <c r="I208" i="20"/>
  <c r="H208" i="20"/>
  <c r="G208" i="20"/>
  <c r="F208" i="20"/>
  <c r="E208" i="20"/>
  <c r="AH207" i="20"/>
  <c r="AG207" i="20"/>
  <c r="AF207" i="20"/>
  <c r="AE207" i="20"/>
  <c r="AD207" i="20"/>
  <c r="AC207" i="20"/>
  <c r="AB207" i="20"/>
  <c r="AA207" i="20"/>
  <c r="Z207" i="20"/>
  <c r="Y207" i="20"/>
  <c r="W207" i="20"/>
  <c r="V207" i="20"/>
  <c r="U207" i="20"/>
  <c r="T207" i="20"/>
  <c r="S207" i="20"/>
  <c r="R207" i="20"/>
  <c r="Q207" i="20"/>
  <c r="P207" i="20"/>
  <c r="X207" i="20" s="1"/>
  <c r="O207" i="20"/>
  <c r="N207" i="20"/>
  <c r="M207" i="20"/>
  <c r="L207" i="20"/>
  <c r="K207" i="20"/>
  <c r="J207" i="20"/>
  <c r="I207" i="20"/>
  <c r="H207" i="20"/>
  <c r="G207" i="20"/>
  <c r="F207" i="20"/>
  <c r="E207" i="20"/>
  <c r="AH206" i="20"/>
  <c r="AG206" i="20"/>
  <c r="AF206" i="20"/>
  <c r="AE206" i="20"/>
  <c r="AD206" i="20"/>
  <c r="AC206" i="20"/>
  <c r="AB206" i="20"/>
  <c r="AA206" i="20"/>
  <c r="Z206" i="20"/>
  <c r="Y206" i="20"/>
  <c r="W206" i="20"/>
  <c r="V206" i="20"/>
  <c r="U206" i="20"/>
  <c r="T206" i="20"/>
  <c r="S206" i="20"/>
  <c r="R206" i="20"/>
  <c r="Q206" i="20"/>
  <c r="P206" i="20"/>
  <c r="X206" i="20" s="1"/>
  <c r="O206" i="20"/>
  <c r="N206" i="20"/>
  <c r="M206" i="20"/>
  <c r="L206" i="20"/>
  <c r="K206" i="20"/>
  <c r="J206" i="20"/>
  <c r="I206" i="20"/>
  <c r="H206" i="20"/>
  <c r="G206" i="20"/>
  <c r="F206" i="20"/>
  <c r="E206" i="20"/>
  <c r="AH205" i="20"/>
  <c r="AG205" i="20"/>
  <c r="AF205" i="20"/>
  <c r="AE205" i="20"/>
  <c r="AD205" i="20"/>
  <c r="AC205" i="20"/>
  <c r="AB205" i="20"/>
  <c r="AA205" i="20"/>
  <c r="Z205" i="20"/>
  <c r="Y205" i="20"/>
  <c r="W205" i="20"/>
  <c r="V205" i="20"/>
  <c r="U205" i="20"/>
  <c r="T205" i="20"/>
  <c r="S205" i="20"/>
  <c r="R205" i="20"/>
  <c r="Q205" i="20"/>
  <c r="P205" i="20"/>
  <c r="X205" i="20" s="1"/>
  <c r="O205" i="20"/>
  <c r="N205" i="20"/>
  <c r="M205" i="20"/>
  <c r="L205" i="20"/>
  <c r="K205" i="20"/>
  <c r="J205" i="20"/>
  <c r="I205" i="20"/>
  <c r="H205" i="20"/>
  <c r="G205" i="20"/>
  <c r="F205" i="20"/>
  <c r="E205" i="20"/>
  <c r="AH204" i="20"/>
  <c r="AG204" i="20"/>
  <c r="AF204" i="20"/>
  <c r="AE204" i="20"/>
  <c r="AD204" i="20"/>
  <c r="AC204" i="20"/>
  <c r="AB204" i="20"/>
  <c r="AA204" i="20"/>
  <c r="Z204" i="20"/>
  <c r="Y204" i="20"/>
  <c r="W204" i="20"/>
  <c r="V204" i="20"/>
  <c r="U204" i="20"/>
  <c r="T204" i="20"/>
  <c r="S204" i="20"/>
  <c r="R204" i="20"/>
  <c r="Q204" i="20"/>
  <c r="P204" i="20"/>
  <c r="X204" i="20" s="1"/>
  <c r="O204" i="20"/>
  <c r="N204" i="20"/>
  <c r="M204" i="20"/>
  <c r="L204" i="20"/>
  <c r="K204" i="20"/>
  <c r="J204" i="20"/>
  <c r="I204" i="20"/>
  <c r="H204" i="20"/>
  <c r="G204" i="20"/>
  <c r="F204" i="20"/>
  <c r="E204" i="20"/>
  <c r="AH203" i="20"/>
  <c r="AG203" i="20"/>
  <c r="AF203" i="20"/>
  <c r="AE203" i="20"/>
  <c r="AD203" i="20"/>
  <c r="AC203" i="20"/>
  <c r="AB203" i="20"/>
  <c r="AA203" i="20"/>
  <c r="Z203" i="20"/>
  <c r="Y203" i="20"/>
  <c r="W203" i="20"/>
  <c r="V203" i="20"/>
  <c r="U203" i="20"/>
  <c r="T203" i="20"/>
  <c r="S203" i="20"/>
  <c r="R203" i="20"/>
  <c r="Q203" i="20"/>
  <c r="P203" i="20"/>
  <c r="X203" i="20" s="1"/>
  <c r="O203" i="20"/>
  <c r="N203" i="20"/>
  <c r="M203" i="20"/>
  <c r="L203" i="20"/>
  <c r="K203" i="20"/>
  <c r="J203" i="20"/>
  <c r="I203" i="20"/>
  <c r="H203" i="20"/>
  <c r="G203" i="20"/>
  <c r="F203" i="20"/>
  <c r="E203" i="20"/>
  <c r="AH202" i="20"/>
  <c r="AG202" i="20"/>
  <c r="AF202" i="20"/>
  <c r="AE202" i="20"/>
  <c r="AD202" i="20"/>
  <c r="AC202" i="20"/>
  <c r="AB202" i="20"/>
  <c r="AA202" i="20"/>
  <c r="Z202" i="20"/>
  <c r="Y202" i="20"/>
  <c r="W202" i="20"/>
  <c r="V202" i="20"/>
  <c r="U202" i="20"/>
  <c r="T202" i="20"/>
  <c r="S202" i="20"/>
  <c r="R202" i="20"/>
  <c r="Q202" i="20"/>
  <c r="P202" i="20"/>
  <c r="X202" i="20" s="1"/>
  <c r="O202" i="20"/>
  <c r="N202" i="20"/>
  <c r="M202" i="20"/>
  <c r="L202" i="20"/>
  <c r="K202" i="20"/>
  <c r="J202" i="20"/>
  <c r="I202" i="20"/>
  <c r="H202" i="20"/>
  <c r="G202" i="20"/>
  <c r="F202" i="20"/>
  <c r="E202" i="20"/>
  <c r="AH201" i="20"/>
  <c r="AG201" i="20"/>
  <c r="AF201" i="20"/>
  <c r="AE201" i="20"/>
  <c r="AD201" i="20"/>
  <c r="AC201" i="20"/>
  <c r="AB201" i="20"/>
  <c r="AA201" i="20"/>
  <c r="Z201" i="20"/>
  <c r="Y201" i="20"/>
  <c r="W201" i="20"/>
  <c r="V201" i="20"/>
  <c r="U201" i="20"/>
  <c r="T201" i="20"/>
  <c r="S201" i="20"/>
  <c r="R201" i="20"/>
  <c r="Q201" i="20"/>
  <c r="P201" i="20"/>
  <c r="X201" i="20" s="1"/>
  <c r="O201" i="20"/>
  <c r="N201" i="20"/>
  <c r="M201" i="20"/>
  <c r="L201" i="20"/>
  <c r="K201" i="20"/>
  <c r="J201" i="20"/>
  <c r="I201" i="20"/>
  <c r="H201" i="20"/>
  <c r="G201" i="20"/>
  <c r="F201" i="20"/>
  <c r="E201" i="20"/>
  <c r="AH200" i="20"/>
  <c r="AG200" i="20"/>
  <c r="AF200" i="20"/>
  <c r="AE200" i="20"/>
  <c r="AD200" i="20"/>
  <c r="AC200" i="20"/>
  <c r="AB200" i="20"/>
  <c r="AA200" i="20"/>
  <c r="Z200" i="20"/>
  <c r="Y200" i="20"/>
  <c r="W200" i="20"/>
  <c r="V200" i="20"/>
  <c r="U200" i="20"/>
  <c r="T200" i="20"/>
  <c r="S200" i="20"/>
  <c r="R200" i="20"/>
  <c r="Q200" i="20"/>
  <c r="P200" i="20"/>
  <c r="X200" i="20" s="1"/>
  <c r="O200" i="20"/>
  <c r="N200" i="20"/>
  <c r="M200" i="20"/>
  <c r="L200" i="20"/>
  <c r="K200" i="20"/>
  <c r="J200" i="20"/>
  <c r="I200" i="20"/>
  <c r="H200" i="20"/>
  <c r="G200" i="20"/>
  <c r="F200" i="20"/>
  <c r="E200" i="20"/>
  <c r="AH199" i="20"/>
  <c r="AG199" i="20"/>
  <c r="AF199" i="20"/>
  <c r="AE199" i="20"/>
  <c r="AD199" i="20"/>
  <c r="AC199" i="20"/>
  <c r="AB199" i="20"/>
  <c r="AA199" i="20"/>
  <c r="Z199" i="20"/>
  <c r="Y199" i="20"/>
  <c r="W199" i="20"/>
  <c r="V199" i="20"/>
  <c r="U199" i="20"/>
  <c r="T199" i="20"/>
  <c r="S199" i="20"/>
  <c r="R199" i="20"/>
  <c r="Q199" i="20"/>
  <c r="P199" i="20"/>
  <c r="X199" i="20" s="1"/>
  <c r="O199" i="20"/>
  <c r="N199" i="20"/>
  <c r="M199" i="20"/>
  <c r="L199" i="20"/>
  <c r="K199" i="20"/>
  <c r="J199" i="20"/>
  <c r="I199" i="20"/>
  <c r="H199" i="20"/>
  <c r="G199" i="20"/>
  <c r="F199" i="20"/>
  <c r="E199" i="20"/>
  <c r="AH198" i="20"/>
  <c r="AG198" i="20"/>
  <c r="AF198" i="20"/>
  <c r="AE198" i="20"/>
  <c r="AD198" i="20"/>
  <c r="AC198" i="20"/>
  <c r="AB198" i="20"/>
  <c r="AA198" i="20"/>
  <c r="Z198" i="20"/>
  <c r="Y198" i="20"/>
  <c r="W198" i="20"/>
  <c r="V198" i="20"/>
  <c r="U198" i="20"/>
  <c r="T198" i="20"/>
  <c r="S198" i="20"/>
  <c r="R198" i="20"/>
  <c r="Q198" i="20"/>
  <c r="P198" i="20"/>
  <c r="X198" i="20" s="1"/>
  <c r="O198" i="20"/>
  <c r="N198" i="20"/>
  <c r="M198" i="20"/>
  <c r="L198" i="20"/>
  <c r="K198" i="20"/>
  <c r="J198" i="20"/>
  <c r="I198" i="20"/>
  <c r="H198" i="20"/>
  <c r="G198" i="20"/>
  <c r="F198" i="20"/>
  <c r="E198" i="20"/>
  <c r="AH197" i="20"/>
  <c r="AG197" i="20"/>
  <c r="AF197" i="20"/>
  <c r="AE197" i="20"/>
  <c r="AD197" i="20"/>
  <c r="AC197" i="20"/>
  <c r="AB197" i="20"/>
  <c r="AA197" i="20"/>
  <c r="Z197" i="20"/>
  <c r="Y197" i="20"/>
  <c r="W197" i="20"/>
  <c r="V197" i="20"/>
  <c r="U197" i="20"/>
  <c r="T197" i="20"/>
  <c r="S197" i="20"/>
  <c r="R197" i="20"/>
  <c r="Q197" i="20"/>
  <c r="P197" i="20"/>
  <c r="X197" i="20" s="1"/>
  <c r="O197" i="20"/>
  <c r="N197" i="20"/>
  <c r="M197" i="20"/>
  <c r="L197" i="20"/>
  <c r="K197" i="20"/>
  <c r="J197" i="20"/>
  <c r="I197" i="20"/>
  <c r="H197" i="20"/>
  <c r="G197" i="20"/>
  <c r="F197" i="20"/>
  <c r="E197" i="20"/>
  <c r="AH196" i="20"/>
  <c r="AG196" i="20"/>
  <c r="AF196" i="20"/>
  <c r="AE196" i="20"/>
  <c r="AD196" i="20"/>
  <c r="AC196" i="20"/>
  <c r="AB196" i="20"/>
  <c r="AA196" i="20"/>
  <c r="Z196" i="20"/>
  <c r="Y196" i="20"/>
  <c r="W196" i="20"/>
  <c r="V196" i="20"/>
  <c r="U196" i="20"/>
  <c r="T196" i="20"/>
  <c r="S196" i="20"/>
  <c r="R196" i="20"/>
  <c r="Q196" i="20"/>
  <c r="P196" i="20"/>
  <c r="X196" i="20" s="1"/>
  <c r="O196" i="20"/>
  <c r="N196" i="20"/>
  <c r="M196" i="20"/>
  <c r="L196" i="20"/>
  <c r="K196" i="20"/>
  <c r="J196" i="20"/>
  <c r="I196" i="20"/>
  <c r="H196" i="20"/>
  <c r="G196" i="20"/>
  <c r="F196" i="20"/>
  <c r="E196" i="20"/>
  <c r="AH195" i="20"/>
  <c r="AG195" i="20"/>
  <c r="AF195" i="20"/>
  <c r="AE195" i="20"/>
  <c r="AD195" i="20"/>
  <c r="AC195" i="20"/>
  <c r="AB195" i="20"/>
  <c r="AA195" i="20"/>
  <c r="Z195" i="20"/>
  <c r="Y195" i="20"/>
  <c r="W195" i="20"/>
  <c r="V195" i="20"/>
  <c r="U195" i="20"/>
  <c r="T195" i="20"/>
  <c r="S195" i="20"/>
  <c r="R195" i="20"/>
  <c r="Q195" i="20"/>
  <c r="P195" i="20"/>
  <c r="X195" i="20" s="1"/>
  <c r="O195" i="20"/>
  <c r="N195" i="20"/>
  <c r="M195" i="20"/>
  <c r="L195" i="20"/>
  <c r="K195" i="20"/>
  <c r="J195" i="20"/>
  <c r="I195" i="20"/>
  <c r="H195" i="20"/>
  <c r="G195" i="20"/>
  <c r="F195" i="20"/>
  <c r="E195" i="20"/>
  <c r="AH194" i="20"/>
  <c r="AG194" i="20"/>
  <c r="AF194" i="20"/>
  <c r="AE194" i="20"/>
  <c r="AD194" i="20"/>
  <c r="AC194" i="20"/>
  <c r="AB194" i="20"/>
  <c r="AA194" i="20"/>
  <c r="Z194" i="20"/>
  <c r="Y194" i="20"/>
  <c r="W194" i="20"/>
  <c r="V194" i="20"/>
  <c r="U194" i="20"/>
  <c r="T194" i="20"/>
  <c r="S194" i="20"/>
  <c r="R194" i="20"/>
  <c r="Q194" i="20"/>
  <c r="P194" i="20"/>
  <c r="X194" i="20" s="1"/>
  <c r="O194" i="20"/>
  <c r="N194" i="20"/>
  <c r="M194" i="20"/>
  <c r="L194" i="20"/>
  <c r="K194" i="20"/>
  <c r="J194" i="20"/>
  <c r="I194" i="20"/>
  <c r="H194" i="20"/>
  <c r="G194" i="20"/>
  <c r="F194" i="20"/>
  <c r="E194" i="20"/>
  <c r="AH193" i="20"/>
  <c r="AG193" i="20"/>
  <c r="AF193" i="20"/>
  <c r="AE193" i="20"/>
  <c r="AD193" i="20"/>
  <c r="AC193" i="20"/>
  <c r="AB193" i="20"/>
  <c r="AA193" i="20"/>
  <c r="Z193" i="20"/>
  <c r="Y193" i="20"/>
  <c r="W193" i="20"/>
  <c r="V193" i="20"/>
  <c r="U193" i="20"/>
  <c r="T193" i="20"/>
  <c r="S193" i="20"/>
  <c r="R193" i="20"/>
  <c r="Q193" i="20"/>
  <c r="P193" i="20"/>
  <c r="X193" i="20" s="1"/>
  <c r="O193" i="20"/>
  <c r="N193" i="20"/>
  <c r="M193" i="20"/>
  <c r="L193" i="20"/>
  <c r="K193" i="20"/>
  <c r="J193" i="20"/>
  <c r="I193" i="20"/>
  <c r="H193" i="20"/>
  <c r="G193" i="20"/>
  <c r="F193" i="20"/>
  <c r="E193" i="20"/>
  <c r="AK192" i="20"/>
  <c r="AJ192" i="20"/>
  <c r="AI192" i="20"/>
  <c r="AH192" i="20"/>
  <c r="AG192" i="20"/>
  <c r="AF192" i="20"/>
  <c r="AE192" i="20"/>
  <c r="AD192" i="20"/>
  <c r="AC192" i="20"/>
  <c r="AB192" i="20"/>
  <c r="AA192" i="20"/>
  <c r="Z192" i="20"/>
  <c r="Y192" i="20"/>
  <c r="W192" i="20"/>
  <c r="V192" i="20"/>
  <c r="U192" i="20"/>
  <c r="T192" i="20"/>
  <c r="S192" i="20"/>
  <c r="R192" i="20"/>
  <c r="Q192" i="20"/>
  <c r="P192" i="20"/>
  <c r="X192" i="20" s="1"/>
  <c r="O192" i="20"/>
  <c r="N192" i="20"/>
  <c r="M192" i="20"/>
  <c r="L192" i="20"/>
  <c r="K192" i="20"/>
  <c r="J192" i="20"/>
  <c r="I192" i="20"/>
  <c r="H192" i="20"/>
  <c r="G192" i="20"/>
  <c r="F192" i="20"/>
  <c r="E192" i="20"/>
  <c r="AH188" i="20"/>
  <c r="AG188" i="20"/>
  <c r="AF188" i="20"/>
  <c r="AE188" i="20"/>
  <c r="AD188" i="20"/>
  <c r="AC188" i="20"/>
  <c r="AB188" i="20"/>
  <c r="AA188" i="20"/>
  <c r="Z188" i="20"/>
  <c r="Y188" i="20"/>
  <c r="X188" i="20"/>
  <c r="W188" i="20"/>
  <c r="V188" i="20"/>
  <c r="U188" i="20"/>
  <c r="T188" i="20"/>
  <c r="S188" i="20"/>
  <c r="R188" i="20"/>
  <c r="Q188" i="20"/>
  <c r="P188" i="20"/>
  <c r="O188" i="20"/>
  <c r="N188" i="20"/>
  <c r="M188" i="20"/>
  <c r="L188" i="20"/>
  <c r="K188" i="20"/>
  <c r="J188" i="20"/>
  <c r="I188" i="20"/>
  <c r="H188" i="20"/>
  <c r="G188" i="20"/>
  <c r="F188" i="20"/>
  <c r="E188" i="20"/>
  <c r="AH187" i="20"/>
  <c r="AG187" i="20"/>
  <c r="AF187" i="20"/>
  <c r="AE187" i="20"/>
  <c r="AD187" i="20"/>
  <c r="AC187" i="20"/>
  <c r="AB187" i="20"/>
  <c r="AA187" i="20"/>
  <c r="Z187" i="20"/>
  <c r="Y187" i="20"/>
  <c r="X187" i="20"/>
  <c r="W187" i="20"/>
  <c r="V187" i="20"/>
  <c r="U187" i="20"/>
  <c r="T187" i="20"/>
  <c r="S187" i="20"/>
  <c r="R187" i="20"/>
  <c r="Q187" i="20"/>
  <c r="P187" i="20"/>
  <c r="O187" i="20"/>
  <c r="N187" i="20"/>
  <c r="M187" i="20"/>
  <c r="L187" i="20"/>
  <c r="K187" i="20"/>
  <c r="J187" i="20"/>
  <c r="I187" i="20"/>
  <c r="H187" i="20"/>
  <c r="G187" i="20"/>
  <c r="F187" i="20"/>
  <c r="E187" i="20"/>
  <c r="AH186" i="20"/>
  <c r="AG186" i="20"/>
  <c r="AF186" i="20"/>
  <c r="AE186" i="20"/>
  <c r="AD186" i="20"/>
  <c r="AC186" i="20"/>
  <c r="AB186" i="20"/>
  <c r="AA186" i="20"/>
  <c r="Z186" i="20"/>
  <c r="Y186" i="20"/>
  <c r="X186" i="20"/>
  <c r="W186" i="20"/>
  <c r="V186" i="20"/>
  <c r="U186" i="20"/>
  <c r="T186" i="20"/>
  <c r="S186" i="20"/>
  <c r="R186" i="20"/>
  <c r="Q186" i="20"/>
  <c r="P186" i="20"/>
  <c r="O186" i="20"/>
  <c r="N186" i="20"/>
  <c r="M186" i="20"/>
  <c r="L186" i="20"/>
  <c r="K186" i="20"/>
  <c r="J186" i="20"/>
  <c r="I186" i="20"/>
  <c r="H186" i="20"/>
  <c r="G186" i="20"/>
  <c r="F186" i="20"/>
  <c r="E186" i="20"/>
  <c r="AH185" i="20"/>
  <c r="AG185" i="20"/>
  <c r="AF185" i="20"/>
  <c r="AE185" i="20"/>
  <c r="AD185" i="20"/>
  <c r="AC185" i="20"/>
  <c r="AB185" i="20"/>
  <c r="AA185" i="20"/>
  <c r="Z185" i="20"/>
  <c r="Y185" i="20"/>
  <c r="X185" i="20"/>
  <c r="W185" i="20"/>
  <c r="V185" i="20"/>
  <c r="U185" i="20"/>
  <c r="T185" i="20"/>
  <c r="S185" i="20"/>
  <c r="R185" i="20"/>
  <c r="Q185" i="20"/>
  <c r="P185" i="20"/>
  <c r="O185" i="20"/>
  <c r="N185" i="20"/>
  <c r="M185" i="20"/>
  <c r="L185" i="20"/>
  <c r="K185" i="20"/>
  <c r="J185" i="20"/>
  <c r="I185" i="20"/>
  <c r="H185" i="20"/>
  <c r="G185" i="20"/>
  <c r="F185" i="20"/>
  <c r="E185" i="20"/>
  <c r="AH184" i="20"/>
  <c r="AG184" i="20"/>
  <c r="AF184" i="20"/>
  <c r="AE184" i="20"/>
  <c r="AD184" i="20"/>
  <c r="AC184" i="20"/>
  <c r="AB184" i="20"/>
  <c r="AA184" i="20"/>
  <c r="Z184" i="20"/>
  <c r="Y184" i="20"/>
  <c r="X184" i="20"/>
  <c r="W184" i="20"/>
  <c r="V184" i="20"/>
  <c r="U184" i="20"/>
  <c r="T184" i="20"/>
  <c r="S184" i="20"/>
  <c r="R184" i="20"/>
  <c r="Q184" i="20"/>
  <c r="P184" i="20"/>
  <c r="O184" i="20"/>
  <c r="N184" i="20"/>
  <c r="M184" i="20"/>
  <c r="L184" i="20"/>
  <c r="K184" i="20"/>
  <c r="J184" i="20"/>
  <c r="I184" i="20"/>
  <c r="H184" i="20"/>
  <c r="G184" i="20"/>
  <c r="F184" i="20"/>
  <c r="E184" i="20"/>
  <c r="AH183" i="20"/>
  <c r="AG183" i="20"/>
  <c r="AF183" i="20"/>
  <c r="AE183" i="20"/>
  <c r="AD183" i="20"/>
  <c r="AC183" i="20"/>
  <c r="AB183" i="20"/>
  <c r="AA183" i="20"/>
  <c r="Z183" i="20"/>
  <c r="Y183" i="20"/>
  <c r="X183" i="20"/>
  <c r="W183" i="20"/>
  <c r="V183" i="20"/>
  <c r="U183" i="20"/>
  <c r="T183" i="20"/>
  <c r="S183" i="20"/>
  <c r="R183" i="20"/>
  <c r="Q183" i="20"/>
  <c r="P183" i="20"/>
  <c r="O183" i="20"/>
  <c r="N183" i="20"/>
  <c r="M183" i="20"/>
  <c r="L183" i="20"/>
  <c r="K183" i="20"/>
  <c r="J183" i="20"/>
  <c r="I183" i="20"/>
  <c r="H183" i="20"/>
  <c r="G183" i="20"/>
  <c r="F183" i="20"/>
  <c r="E183" i="20"/>
  <c r="AH182" i="20"/>
  <c r="AG182" i="20"/>
  <c r="AF182" i="20"/>
  <c r="AE182" i="20"/>
  <c r="AD182" i="20"/>
  <c r="AC182" i="20"/>
  <c r="AB182" i="20"/>
  <c r="AA182" i="20"/>
  <c r="Z182" i="20"/>
  <c r="Y182" i="20"/>
  <c r="X182" i="20"/>
  <c r="W182" i="20"/>
  <c r="V182" i="20"/>
  <c r="U182" i="20"/>
  <c r="T182" i="20"/>
  <c r="S182" i="20"/>
  <c r="R182" i="20"/>
  <c r="Q182" i="20"/>
  <c r="P182" i="20"/>
  <c r="O182" i="20"/>
  <c r="N182" i="20"/>
  <c r="M182" i="20"/>
  <c r="L182" i="20"/>
  <c r="K182" i="20"/>
  <c r="J182" i="20"/>
  <c r="I182" i="20"/>
  <c r="H182" i="20"/>
  <c r="G182" i="20"/>
  <c r="F182" i="20"/>
  <c r="E182" i="20"/>
  <c r="AH181" i="20"/>
  <c r="AG181" i="20"/>
  <c r="AF181" i="20"/>
  <c r="AE181" i="20"/>
  <c r="AD181" i="20"/>
  <c r="AC181" i="20"/>
  <c r="AB181" i="20"/>
  <c r="AA181" i="20"/>
  <c r="Z181" i="20"/>
  <c r="Y181" i="20"/>
  <c r="X181" i="20"/>
  <c r="W181" i="20"/>
  <c r="V181" i="20"/>
  <c r="U181" i="20"/>
  <c r="T181" i="20"/>
  <c r="S181" i="20"/>
  <c r="R181" i="20"/>
  <c r="Q181" i="20"/>
  <c r="P181" i="20"/>
  <c r="O181" i="20"/>
  <c r="N181" i="20"/>
  <c r="M181" i="20"/>
  <c r="L181" i="20"/>
  <c r="K181" i="20"/>
  <c r="J181" i="20"/>
  <c r="I181" i="20"/>
  <c r="H181" i="20"/>
  <c r="G181" i="20"/>
  <c r="F181" i="20"/>
  <c r="E181" i="20"/>
  <c r="AH180" i="20"/>
  <c r="AG180" i="20"/>
  <c r="AF180" i="20"/>
  <c r="AE180" i="20"/>
  <c r="AD180" i="20"/>
  <c r="AC180" i="20"/>
  <c r="AB180" i="20"/>
  <c r="AA180" i="20"/>
  <c r="Z180" i="20"/>
  <c r="Y180" i="20"/>
  <c r="X180" i="20"/>
  <c r="W180" i="20"/>
  <c r="V180" i="20"/>
  <c r="U180" i="20"/>
  <c r="T180" i="20"/>
  <c r="S180" i="20"/>
  <c r="R180" i="20"/>
  <c r="Q180" i="20"/>
  <c r="P180" i="20"/>
  <c r="O180" i="20"/>
  <c r="N180" i="20"/>
  <c r="M180" i="20"/>
  <c r="L180" i="20"/>
  <c r="K180" i="20"/>
  <c r="J180" i="20"/>
  <c r="I180" i="20"/>
  <c r="H180" i="20"/>
  <c r="G180" i="20"/>
  <c r="F180" i="20"/>
  <c r="E180" i="20"/>
  <c r="AH179" i="20"/>
  <c r="AG179" i="20"/>
  <c r="AF179" i="20"/>
  <c r="AE179" i="20"/>
  <c r="AD179" i="20"/>
  <c r="AC179" i="20"/>
  <c r="AB179" i="20"/>
  <c r="AA179" i="20"/>
  <c r="Z179" i="20"/>
  <c r="Y179" i="20"/>
  <c r="X179" i="20"/>
  <c r="W179" i="20"/>
  <c r="V179" i="20"/>
  <c r="U179" i="20"/>
  <c r="T179" i="20"/>
  <c r="S179" i="20"/>
  <c r="R179" i="20"/>
  <c r="Q179" i="20"/>
  <c r="P179" i="20"/>
  <c r="O179" i="20"/>
  <c r="N179" i="20"/>
  <c r="M179" i="20"/>
  <c r="L179" i="20"/>
  <c r="K179" i="20"/>
  <c r="J179" i="20"/>
  <c r="I179" i="20"/>
  <c r="H179" i="20"/>
  <c r="G179" i="20"/>
  <c r="F179" i="20"/>
  <c r="E179" i="20"/>
  <c r="AH178" i="20"/>
  <c r="AG178" i="20"/>
  <c r="AF178" i="20"/>
  <c r="AE178" i="20"/>
  <c r="AD178" i="20"/>
  <c r="AC178" i="20"/>
  <c r="AB178" i="20"/>
  <c r="AA178" i="20"/>
  <c r="Z178" i="20"/>
  <c r="Y178" i="20"/>
  <c r="X178" i="20"/>
  <c r="W178" i="20"/>
  <c r="V178" i="20"/>
  <c r="U178" i="20"/>
  <c r="T178" i="20"/>
  <c r="S178" i="20"/>
  <c r="R178" i="20"/>
  <c r="Q178" i="20"/>
  <c r="P178" i="20"/>
  <c r="O178" i="20"/>
  <c r="N178" i="20"/>
  <c r="M178" i="20"/>
  <c r="L178" i="20"/>
  <c r="K178" i="20"/>
  <c r="J178" i="20"/>
  <c r="I178" i="20"/>
  <c r="H178" i="20"/>
  <c r="G178" i="20"/>
  <c r="F178" i="20"/>
  <c r="E178" i="20"/>
  <c r="AH177" i="20"/>
  <c r="AG177" i="20"/>
  <c r="AF177" i="20"/>
  <c r="AE177" i="20"/>
  <c r="AD177" i="20"/>
  <c r="AC177" i="20"/>
  <c r="AB177" i="20"/>
  <c r="AA177" i="20"/>
  <c r="Z177" i="20"/>
  <c r="Y177" i="20"/>
  <c r="X177" i="20"/>
  <c r="W177" i="20"/>
  <c r="V177" i="20"/>
  <c r="U177" i="20"/>
  <c r="T177" i="20"/>
  <c r="S177" i="20"/>
  <c r="R177" i="20"/>
  <c r="Q177" i="20"/>
  <c r="P177" i="20"/>
  <c r="O177" i="20"/>
  <c r="N177" i="20"/>
  <c r="M177" i="20"/>
  <c r="L177" i="20"/>
  <c r="K177" i="20"/>
  <c r="J177" i="20"/>
  <c r="I177" i="20"/>
  <c r="H177" i="20"/>
  <c r="G177" i="20"/>
  <c r="F177" i="20"/>
  <c r="E177" i="20"/>
  <c r="AH176" i="20"/>
  <c r="AG176" i="20"/>
  <c r="AF176" i="20"/>
  <c r="AE176" i="20"/>
  <c r="AD176" i="20"/>
  <c r="AC176" i="20"/>
  <c r="AB176" i="20"/>
  <c r="AA176" i="20"/>
  <c r="Z176" i="20"/>
  <c r="Y176" i="20"/>
  <c r="X176" i="20"/>
  <c r="W176" i="20"/>
  <c r="V176" i="20"/>
  <c r="U176" i="20"/>
  <c r="T176" i="20"/>
  <c r="S176" i="20"/>
  <c r="R176" i="20"/>
  <c r="Q176" i="20"/>
  <c r="P176" i="20"/>
  <c r="O176" i="20"/>
  <c r="N176" i="20"/>
  <c r="M176" i="20"/>
  <c r="L176" i="20"/>
  <c r="K176" i="20"/>
  <c r="J176" i="20"/>
  <c r="I176" i="20"/>
  <c r="H176" i="20"/>
  <c r="G176" i="20"/>
  <c r="F176" i="20"/>
  <c r="E176" i="20"/>
  <c r="AH175" i="20"/>
  <c r="AG175" i="20"/>
  <c r="AF175" i="20"/>
  <c r="AE175" i="20"/>
  <c r="AD175" i="20"/>
  <c r="AC175" i="20"/>
  <c r="AB175" i="20"/>
  <c r="AA175" i="20"/>
  <c r="Z175" i="20"/>
  <c r="Y175" i="20"/>
  <c r="X175" i="20"/>
  <c r="W175" i="20"/>
  <c r="V175" i="20"/>
  <c r="U175" i="20"/>
  <c r="T175" i="20"/>
  <c r="S175" i="20"/>
  <c r="R175" i="20"/>
  <c r="Q175" i="20"/>
  <c r="P175" i="20"/>
  <c r="O175" i="20"/>
  <c r="N175" i="20"/>
  <c r="M175" i="20"/>
  <c r="L175" i="20"/>
  <c r="K175" i="20"/>
  <c r="J175" i="20"/>
  <c r="I175" i="20"/>
  <c r="H175" i="20"/>
  <c r="G175" i="20"/>
  <c r="F175" i="20"/>
  <c r="E175" i="20"/>
  <c r="AH174" i="20"/>
  <c r="AG174" i="20"/>
  <c r="AF174" i="20"/>
  <c r="AE174" i="20"/>
  <c r="AD174" i="20"/>
  <c r="AC174" i="20"/>
  <c r="AB174" i="20"/>
  <c r="AA174" i="20"/>
  <c r="Z174" i="20"/>
  <c r="AQ171" i="20" s="1"/>
  <c r="Y174" i="20"/>
  <c r="X174" i="20"/>
  <c r="W174" i="20"/>
  <c r="V174" i="20"/>
  <c r="U174" i="20"/>
  <c r="T174" i="20"/>
  <c r="S174" i="20"/>
  <c r="R174" i="20"/>
  <c r="Q174" i="20"/>
  <c r="P174" i="20"/>
  <c r="O174" i="20"/>
  <c r="N174" i="20"/>
  <c r="M174" i="20"/>
  <c r="L174" i="20"/>
  <c r="K174" i="20"/>
  <c r="J174" i="20"/>
  <c r="I174" i="20"/>
  <c r="H174" i="20"/>
  <c r="G174" i="20"/>
  <c r="F174" i="20"/>
  <c r="E174" i="20"/>
  <c r="AH173" i="20"/>
  <c r="AG173" i="20"/>
  <c r="AF173" i="20"/>
  <c r="AE173" i="20"/>
  <c r="AD173" i="20"/>
  <c r="AC173" i="20"/>
  <c r="AB173" i="20"/>
  <c r="AA173" i="20"/>
  <c r="Z173" i="20"/>
  <c r="Y173" i="20"/>
  <c r="X173" i="20"/>
  <c r="W173" i="20"/>
  <c r="V173" i="20"/>
  <c r="U173" i="20"/>
  <c r="T173" i="20"/>
  <c r="S173" i="20"/>
  <c r="R173" i="20"/>
  <c r="Q173" i="20"/>
  <c r="P173" i="20"/>
  <c r="O173" i="20"/>
  <c r="N173" i="20"/>
  <c r="M173" i="20"/>
  <c r="L173" i="20"/>
  <c r="K173" i="20"/>
  <c r="J173" i="20"/>
  <c r="I173" i="20"/>
  <c r="H173" i="20"/>
  <c r="G173" i="20"/>
  <c r="F173" i="20"/>
  <c r="E173" i="20"/>
  <c r="AH172" i="20"/>
  <c r="AG172" i="20"/>
  <c r="AF172" i="20"/>
  <c r="AE172" i="20"/>
  <c r="AD172" i="20"/>
  <c r="AC172" i="20"/>
  <c r="AB172" i="20"/>
  <c r="AA172" i="20"/>
  <c r="Z172" i="20"/>
  <c r="Y172" i="20"/>
  <c r="X172" i="20"/>
  <c r="W172" i="20"/>
  <c r="V172" i="20"/>
  <c r="U172" i="20"/>
  <c r="T172" i="20"/>
  <c r="S172" i="20"/>
  <c r="R172" i="20"/>
  <c r="Q172" i="20"/>
  <c r="P172" i="20"/>
  <c r="O172" i="20"/>
  <c r="N172" i="20"/>
  <c r="M172" i="20"/>
  <c r="L172" i="20"/>
  <c r="K172" i="20"/>
  <c r="J172" i="20"/>
  <c r="I172" i="20"/>
  <c r="H172" i="20"/>
  <c r="G172" i="20"/>
  <c r="F172" i="20"/>
  <c r="E172" i="20"/>
  <c r="AS171" i="20"/>
  <c r="AI171" i="20"/>
  <c r="AH171" i="20"/>
  <c r="AG171" i="20"/>
  <c r="AF171" i="20"/>
  <c r="AE171" i="20"/>
  <c r="AD171" i="20"/>
  <c r="AC171" i="20"/>
  <c r="AB171" i="20"/>
  <c r="AA171" i="20"/>
  <c r="Z171" i="20"/>
  <c r="Y171" i="20"/>
  <c r="X171" i="20"/>
  <c r="W171" i="20"/>
  <c r="V171" i="20"/>
  <c r="U171" i="20"/>
  <c r="T171" i="20"/>
  <c r="S171" i="20"/>
  <c r="R171" i="20"/>
  <c r="Q171" i="20"/>
  <c r="P171" i="20"/>
  <c r="O171" i="20"/>
  <c r="N171" i="20"/>
  <c r="M171" i="20"/>
  <c r="L171" i="20"/>
  <c r="K171" i="20"/>
  <c r="J171" i="20"/>
  <c r="I171" i="20"/>
  <c r="H171" i="20"/>
  <c r="G171" i="20"/>
  <c r="F171" i="20"/>
  <c r="E171" i="20"/>
  <c r="AH167" i="20"/>
  <c r="AG167" i="20"/>
  <c r="AF167" i="20"/>
  <c r="AE167" i="20"/>
  <c r="AD167" i="20"/>
  <c r="AC167" i="20"/>
  <c r="AB167" i="20"/>
  <c r="AA167" i="20"/>
  <c r="Z167" i="20"/>
  <c r="Y167" i="20"/>
  <c r="W167" i="20"/>
  <c r="V167" i="20"/>
  <c r="U167" i="20"/>
  <c r="T167" i="20"/>
  <c r="S167" i="20"/>
  <c r="R167" i="20"/>
  <c r="Q167" i="20"/>
  <c r="P167" i="20"/>
  <c r="X167" i="20" s="1"/>
  <c r="O167" i="20"/>
  <c r="N167" i="20"/>
  <c r="M167" i="20"/>
  <c r="L167" i="20"/>
  <c r="K167" i="20"/>
  <c r="J167" i="20"/>
  <c r="I167" i="20"/>
  <c r="H167" i="20"/>
  <c r="G167" i="20"/>
  <c r="F167" i="20"/>
  <c r="E167" i="20"/>
  <c r="AH166" i="20"/>
  <c r="AG166" i="20"/>
  <c r="AF166" i="20"/>
  <c r="AE166" i="20"/>
  <c r="AD166" i="20"/>
  <c r="AC166" i="20"/>
  <c r="AB166" i="20"/>
  <c r="AA166" i="20"/>
  <c r="Z166" i="20"/>
  <c r="Y166" i="20"/>
  <c r="W166" i="20"/>
  <c r="V166" i="20"/>
  <c r="U166" i="20"/>
  <c r="T166" i="20"/>
  <c r="S166" i="20"/>
  <c r="R166" i="20"/>
  <c r="Q166" i="20"/>
  <c r="P166" i="20"/>
  <c r="X166" i="20" s="1"/>
  <c r="O166" i="20"/>
  <c r="N166" i="20"/>
  <c r="M166" i="20"/>
  <c r="L166" i="20"/>
  <c r="K166" i="20"/>
  <c r="J166" i="20"/>
  <c r="I166" i="20"/>
  <c r="H166" i="20"/>
  <c r="G166" i="20"/>
  <c r="F166" i="20"/>
  <c r="E166" i="20"/>
  <c r="AH165" i="20"/>
  <c r="AG165" i="20"/>
  <c r="AF165" i="20"/>
  <c r="AE165" i="20"/>
  <c r="AD165" i="20"/>
  <c r="AC165" i="20"/>
  <c r="AB165" i="20"/>
  <c r="AA165" i="20"/>
  <c r="Z165" i="20"/>
  <c r="Y165" i="20"/>
  <c r="W165" i="20"/>
  <c r="V165" i="20"/>
  <c r="U165" i="20"/>
  <c r="T165" i="20"/>
  <c r="S165" i="20"/>
  <c r="R165" i="20"/>
  <c r="Q165" i="20"/>
  <c r="P165" i="20"/>
  <c r="X165" i="20" s="1"/>
  <c r="O165" i="20"/>
  <c r="N165" i="20"/>
  <c r="M165" i="20"/>
  <c r="L165" i="20"/>
  <c r="K165" i="20"/>
  <c r="J165" i="20"/>
  <c r="I165" i="20"/>
  <c r="H165" i="20"/>
  <c r="G165" i="20"/>
  <c r="F165" i="20"/>
  <c r="E165" i="20"/>
  <c r="AH164" i="20"/>
  <c r="AG164" i="20"/>
  <c r="AF164" i="20"/>
  <c r="AE164" i="20"/>
  <c r="AD164" i="20"/>
  <c r="AC164" i="20"/>
  <c r="AB164" i="20"/>
  <c r="AA164" i="20"/>
  <c r="Z164" i="20"/>
  <c r="Y164" i="20"/>
  <c r="W164" i="20"/>
  <c r="V164" i="20"/>
  <c r="U164" i="20"/>
  <c r="T164" i="20"/>
  <c r="S164" i="20"/>
  <c r="R164" i="20"/>
  <c r="Q164" i="20"/>
  <c r="P164" i="20"/>
  <c r="X164" i="20" s="1"/>
  <c r="O164" i="20"/>
  <c r="N164" i="20"/>
  <c r="M164" i="20"/>
  <c r="L164" i="20"/>
  <c r="K164" i="20"/>
  <c r="J164" i="20"/>
  <c r="I164" i="20"/>
  <c r="H164" i="20"/>
  <c r="G164" i="20"/>
  <c r="F164" i="20"/>
  <c r="E164" i="20"/>
  <c r="AH163" i="20"/>
  <c r="AG163" i="20"/>
  <c r="AF163" i="20"/>
  <c r="AE163" i="20"/>
  <c r="AD163" i="20"/>
  <c r="AC163" i="20"/>
  <c r="AB163" i="20"/>
  <c r="AA163" i="20"/>
  <c r="Z163" i="20"/>
  <c r="Y163" i="20"/>
  <c r="W163" i="20"/>
  <c r="V163" i="20"/>
  <c r="U163" i="20"/>
  <c r="T163" i="20"/>
  <c r="S163" i="20"/>
  <c r="R163" i="20"/>
  <c r="Q163" i="20"/>
  <c r="P163" i="20"/>
  <c r="X163" i="20" s="1"/>
  <c r="O163" i="20"/>
  <c r="N163" i="20"/>
  <c r="M163" i="20"/>
  <c r="L163" i="20"/>
  <c r="K163" i="20"/>
  <c r="J163" i="20"/>
  <c r="I163" i="20"/>
  <c r="H163" i="20"/>
  <c r="G163" i="20"/>
  <c r="F163" i="20"/>
  <c r="E163" i="20"/>
  <c r="AH162" i="20"/>
  <c r="AG162" i="20"/>
  <c r="AF162" i="20"/>
  <c r="AE162" i="20"/>
  <c r="AD162" i="20"/>
  <c r="AC162" i="20"/>
  <c r="AB162" i="20"/>
  <c r="AA162" i="20"/>
  <c r="Z162" i="20"/>
  <c r="Y162" i="20"/>
  <c r="W162" i="20"/>
  <c r="V162" i="20"/>
  <c r="U162" i="20"/>
  <c r="T162" i="20"/>
  <c r="S162" i="20"/>
  <c r="R162" i="20"/>
  <c r="Q162" i="20"/>
  <c r="P162" i="20"/>
  <c r="X162" i="20" s="1"/>
  <c r="O162" i="20"/>
  <c r="N162" i="20"/>
  <c r="M162" i="20"/>
  <c r="L162" i="20"/>
  <c r="K162" i="20"/>
  <c r="J162" i="20"/>
  <c r="I162" i="20"/>
  <c r="H162" i="20"/>
  <c r="G162" i="20"/>
  <c r="F162" i="20"/>
  <c r="E162" i="20"/>
  <c r="AH161" i="20"/>
  <c r="AG161" i="20"/>
  <c r="AF161" i="20"/>
  <c r="AE161" i="20"/>
  <c r="AD161" i="20"/>
  <c r="AC161" i="20"/>
  <c r="AB161" i="20"/>
  <c r="AA161" i="20"/>
  <c r="Z161" i="20"/>
  <c r="Y161" i="20"/>
  <c r="W161" i="20"/>
  <c r="V161" i="20"/>
  <c r="U161" i="20"/>
  <c r="T161" i="20"/>
  <c r="S161" i="20"/>
  <c r="R161" i="20"/>
  <c r="Q161" i="20"/>
  <c r="P161" i="20"/>
  <c r="X161" i="20" s="1"/>
  <c r="O161" i="20"/>
  <c r="N161" i="20"/>
  <c r="M161" i="20"/>
  <c r="L161" i="20"/>
  <c r="K161" i="20"/>
  <c r="J161" i="20"/>
  <c r="I161" i="20"/>
  <c r="H161" i="20"/>
  <c r="G161" i="20"/>
  <c r="F161" i="20"/>
  <c r="E161" i="20"/>
  <c r="AH160" i="20"/>
  <c r="AG160" i="20"/>
  <c r="AF160" i="20"/>
  <c r="AE160" i="20"/>
  <c r="AD160" i="20"/>
  <c r="AC160" i="20"/>
  <c r="AB160" i="20"/>
  <c r="AA160" i="20"/>
  <c r="Z160" i="20"/>
  <c r="Y160" i="20"/>
  <c r="W160" i="20"/>
  <c r="V160" i="20"/>
  <c r="U160" i="20"/>
  <c r="T160" i="20"/>
  <c r="S160" i="20"/>
  <c r="R160" i="20"/>
  <c r="Q160" i="20"/>
  <c r="P160" i="20"/>
  <c r="X160" i="20" s="1"/>
  <c r="O160" i="20"/>
  <c r="N160" i="20"/>
  <c r="M160" i="20"/>
  <c r="L160" i="20"/>
  <c r="K160" i="20"/>
  <c r="J160" i="20"/>
  <c r="I160" i="20"/>
  <c r="H160" i="20"/>
  <c r="G160" i="20"/>
  <c r="F160" i="20"/>
  <c r="E160" i="20"/>
  <c r="AH159" i="20"/>
  <c r="AG159" i="20"/>
  <c r="AF159" i="20"/>
  <c r="AE159" i="20"/>
  <c r="AD159" i="20"/>
  <c r="AC159" i="20"/>
  <c r="AB159" i="20"/>
  <c r="AA159" i="20"/>
  <c r="Z159" i="20"/>
  <c r="Y159" i="20"/>
  <c r="W159" i="20"/>
  <c r="V159" i="20"/>
  <c r="U159" i="20"/>
  <c r="T159" i="20"/>
  <c r="S159" i="20"/>
  <c r="R159" i="20"/>
  <c r="Q159" i="20"/>
  <c r="P159" i="20"/>
  <c r="X159" i="20" s="1"/>
  <c r="O159" i="20"/>
  <c r="N159" i="20"/>
  <c r="M159" i="20"/>
  <c r="L159" i="20"/>
  <c r="K159" i="20"/>
  <c r="J159" i="20"/>
  <c r="I159" i="20"/>
  <c r="H159" i="20"/>
  <c r="G159" i="20"/>
  <c r="F159" i="20"/>
  <c r="E159" i="20"/>
  <c r="AH158" i="20"/>
  <c r="AG158" i="20"/>
  <c r="AF158" i="20"/>
  <c r="AE158" i="20"/>
  <c r="AD158" i="20"/>
  <c r="AC158" i="20"/>
  <c r="AB158" i="20"/>
  <c r="AA158" i="20"/>
  <c r="Z158" i="20"/>
  <c r="Y158" i="20"/>
  <c r="W158" i="20"/>
  <c r="V158" i="20"/>
  <c r="U158" i="20"/>
  <c r="T158" i="20"/>
  <c r="S158" i="20"/>
  <c r="R158" i="20"/>
  <c r="Q158" i="20"/>
  <c r="P158" i="20"/>
  <c r="X158" i="20" s="1"/>
  <c r="O158" i="20"/>
  <c r="N158" i="20"/>
  <c r="M158" i="20"/>
  <c r="L158" i="20"/>
  <c r="K158" i="20"/>
  <c r="J158" i="20"/>
  <c r="I158" i="20"/>
  <c r="H158" i="20"/>
  <c r="G158" i="20"/>
  <c r="F158" i="20"/>
  <c r="E158" i="20"/>
  <c r="AH157" i="20"/>
  <c r="AG157" i="20"/>
  <c r="AF157" i="20"/>
  <c r="AE157" i="20"/>
  <c r="AD157" i="20"/>
  <c r="AC157" i="20"/>
  <c r="AB157" i="20"/>
  <c r="AA157" i="20"/>
  <c r="Z157" i="20"/>
  <c r="Y157" i="20"/>
  <c r="W157" i="20"/>
  <c r="V157" i="20"/>
  <c r="U157" i="20"/>
  <c r="T157" i="20"/>
  <c r="S157" i="20"/>
  <c r="R157" i="20"/>
  <c r="Q157" i="20"/>
  <c r="P157" i="20"/>
  <c r="X157" i="20" s="1"/>
  <c r="O157" i="20"/>
  <c r="N157" i="20"/>
  <c r="M157" i="20"/>
  <c r="L157" i="20"/>
  <c r="K157" i="20"/>
  <c r="J157" i="20"/>
  <c r="I157" i="20"/>
  <c r="H157" i="20"/>
  <c r="G157" i="20"/>
  <c r="F157" i="20"/>
  <c r="E157" i="20"/>
  <c r="AH156" i="20"/>
  <c r="AG156" i="20"/>
  <c r="AF156" i="20"/>
  <c r="AE156" i="20"/>
  <c r="AD156" i="20"/>
  <c r="AC156" i="20"/>
  <c r="AB156" i="20"/>
  <c r="AA156" i="20"/>
  <c r="Z156" i="20"/>
  <c r="Y156" i="20"/>
  <c r="W156" i="20"/>
  <c r="V156" i="20"/>
  <c r="U156" i="20"/>
  <c r="T156" i="20"/>
  <c r="S156" i="20"/>
  <c r="R156" i="20"/>
  <c r="Q156" i="20"/>
  <c r="P156" i="20"/>
  <c r="X156" i="20" s="1"/>
  <c r="O156" i="20"/>
  <c r="N156" i="20"/>
  <c r="M156" i="20"/>
  <c r="L156" i="20"/>
  <c r="K156" i="20"/>
  <c r="J156" i="20"/>
  <c r="I156" i="20"/>
  <c r="H156" i="20"/>
  <c r="G156" i="20"/>
  <c r="F156" i="20"/>
  <c r="E156" i="20"/>
  <c r="AH155" i="20"/>
  <c r="AG155" i="20"/>
  <c r="AF155" i="20"/>
  <c r="AE155" i="20"/>
  <c r="AD155" i="20"/>
  <c r="AC155" i="20"/>
  <c r="AB155" i="20"/>
  <c r="AA155" i="20"/>
  <c r="Z155" i="20"/>
  <c r="Y155" i="20"/>
  <c r="W155" i="20"/>
  <c r="V155" i="20"/>
  <c r="U155" i="20"/>
  <c r="T155" i="20"/>
  <c r="S155" i="20"/>
  <c r="R155" i="20"/>
  <c r="Q155" i="20"/>
  <c r="P155" i="20"/>
  <c r="X155" i="20" s="1"/>
  <c r="O155" i="20"/>
  <c r="N155" i="20"/>
  <c r="M155" i="20"/>
  <c r="L155" i="20"/>
  <c r="K155" i="20"/>
  <c r="J155" i="20"/>
  <c r="I155" i="20"/>
  <c r="H155" i="20"/>
  <c r="G155" i="20"/>
  <c r="F155" i="20"/>
  <c r="E155" i="20"/>
  <c r="AH154" i="20"/>
  <c r="AG154" i="20"/>
  <c r="AF154" i="20"/>
  <c r="AE154" i="20"/>
  <c r="AD154" i="20"/>
  <c r="AC154" i="20"/>
  <c r="AB154" i="20"/>
  <c r="AA154" i="20"/>
  <c r="Z154" i="20"/>
  <c r="Y154" i="20"/>
  <c r="W154" i="20"/>
  <c r="V154" i="20"/>
  <c r="U154" i="20"/>
  <c r="T154" i="20"/>
  <c r="S154" i="20"/>
  <c r="R154" i="20"/>
  <c r="Q154" i="20"/>
  <c r="P154" i="20"/>
  <c r="X154" i="20" s="1"/>
  <c r="O154" i="20"/>
  <c r="N154" i="20"/>
  <c r="M154" i="20"/>
  <c r="L154" i="20"/>
  <c r="K154" i="20"/>
  <c r="J154" i="20"/>
  <c r="I154" i="20"/>
  <c r="H154" i="20"/>
  <c r="G154" i="20"/>
  <c r="F154" i="20"/>
  <c r="E154" i="20"/>
  <c r="AH153" i="20"/>
  <c r="AG153" i="20"/>
  <c r="AF153" i="20"/>
  <c r="AE153" i="20"/>
  <c r="AD153" i="20"/>
  <c r="AC153" i="20"/>
  <c r="AB153" i="20"/>
  <c r="AA153" i="20"/>
  <c r="Z153" i="20"/>
  <c r="Y153" i="20"/>
  <c r="W153" i="20"/>
  <c r="V153" i="20"/>
  <c r="U153" i="20"/>
  <c r="T153" i="20"/>
  <c r="S153" i="20"/>
  <c r="R153" i="20"/>
  <c r="Q153" i="20"/>
  <c r="P153" i="20"/>
  <c r="X153" i="20" s="1"/>
  <c r="O153" i="20"/>
  <c r="N153" i="20"/>
  <c r="M153" i="20"/>
  <c r="L153" i="20"/>
  <c r="K153" i="20"/>
  <c r="J153" i="20"/>
  <c r="I153" i="20"/>
  <c r="H153" i="20"/>
  <c r="G153" i="20"/>
  <c r="F153" i="20"/>
  <c r="E153" i="20"/>
  <c r="AH152" i="20"/>
  <c r="AG152" i="20"/>
  <c r="AF152" i="20"/>
  <c r="AE152" i="20"/>
  <c r="AD152" i="20"/>
  <c r="AC152" i="20"/>
  <c r="AB152" i="20"/>
  <c r="AA152" i="20"/>
  <c r="Z152" i="20"/>
  <c r="Y152" i="20"/>
  <c r="W152" i="20"/>
  <c r="V152" i="20"/>
  <c r="U152" i="20"/>
  <c r="T152" i="20"/>
  <c r="S152" i="20"/>
  <c r="R152" i="20"/>
  <c r="Q152" i="20"/>
  <c r="P152" i="20"/>
  <c r="X152" i="20" s="1"/>
  <c r="O152" i="20"/>
  <c r="N152" i="20"/>
  <c r="M152" i="20"/>
  <c r="L152" i="20"/>
  <c r="K152" i="20"/>
  <c r="J152" i="20"/>
  <c r="I152" i="20"/>
  <c r="H152" i="20"/>
  <c r="G152" i="20"/>
  <c r="F152" i="20"/>
  <c r="E152" i="20"/>
  <c r="AH151" i="20"/>
  <c r="AG151" i="20"/>
  <c r="AF151" i="20"/>
  <c r="AE151" i="20"/>
  <c r="AD151" i="20"/>
  <c r="AC151" i="20"/>
  <c r="AB151" i="20"/>
  <c r="AA151" i="20"/>
  <c r="Z151" i="20"/>
  <c r="Y151" i="20"/>
  <c r="W151" i="20"/>
  <c r="V151" i="20"/>
  <c r="U151" i="20"/>
  <c r="T151" i="20"/>
  <c r="S151" i="20"/>
  <c r="R151" i="20"/>
  <c r="Q151" i="20"/>
  <c r="P151" i="20"/>
  <c r="X151" i="20" s="1"/>
  <c r="O151" i="20"/>
  <c r="N151" i="20"/>
  <c r="M151" i="20"/>
  <c r="L151" i="20"/>
  <c r="K151" i="20"/>
  <c r="J151" i="20"/>
  <c r="I151" i="20"/>
  <c r="H151" i="20"/>
  <c r="G151" i="20"/>
  <c r="F151" i="20"/>
  <c r="E151" i="20"/>
  <c r="AS150" i="20"/>
  <c r="AI150" i="20"/>
  <c r="AH150" i="20"/>
  <c r="AG150" i="20"/>
  <c r="AF150" i="20"/>
  <c r="AE150" i="20"/>
  <c r="AD150" i="20"/>
  <c r="AC150" i="20"/>
  <c r="AB150" i="20"/>
  <c r="AA150" i="20"/>
  <c r="Z150" i="20"/>
  <c r="Y150" i="20"/>
  <c r="W150" i="20"/>
  <c r="V150" i="20"/>
  <c r="U150" i="20"/>
  <c r="T150" i="20"/>
  <c r="S150" i="20"/>
  <c r="R150" i="20"/>
  <c r="Q150" i="20"/>
  <c r="P150" i="20"/>
  <c r="X150" i="20" s="1"/>
  <c r="O150" i="20"/>
  <c r="N150" i="20"/>
  <c r="M150" i="20"/>
  <c r="L150" i="20"/>
  <c r="K150" i="20"/>
  <c r="J150" i="20"/>
  <c r="I150" i="20"/>
  <c r="H150" i="20"/>
  <c r="G150" i="20"/>
  <c r="F150" i="20"/>
  <c r="E150" i="20"/>
  <c r="AH146" i="20"/>
  <c r="AG146" i="20"/>
  <c r="AF146" i="20"/>
  <c r="AE146" i="20"/>
  <c r="AD146" i="20"/>
  <c r="AC146" i="20"/>
  <c r="AB146" i="20"/>
  <c r="AI129" i="20" s="1"/>
  <c r="AA146" i="20"/>
  <c r="Z146" i="20"/>
  <c r="Y146" i="20"/>
  <c r="W146" i="20"/>
  <c r="V146" i="20"/>
  <c r="U146" i="20"/>
  <c r="T146" i="20"/>
  <c r="S146" i="20"/>
  <c r="R146" i="20"/>
  <c r="Q146" i="20"/>
  <c r="P146" i="20"/>
  <c r="X146" i="20" s="1"/>
  <c r="O146" i="20"/>
  <c r="N146" i="20"/>
  <c r="M146" i="20"/>
  <c r="L146" i="20"/>
  <c r="K146" i="20"/>
  <c r="J146" i="20"/>
  <c r="I146" i="20"/>
  <c r="H146" i="20"/>
  <c r="G146" i="20"/>
  <c r="F146" i="20"/>
  <c r="E146" i="20"/>
  <c r="AH145" i="20"/>
  <c r="AG145" i="20"/>
  <c r="AF145" i="20"/>
  <c r="AE145" i="20"/>
  <c r="AD145" i="20"/>
  <c r="AC145" i="20"/>
  <c r="AB145" i="20"/>
  <c r="AA145" i="20"/>
  <c r="Z145" i="20"/>
  <c r="Y145" i="20"/>
  <c r="W145" i="20"/>
  <c r="V145" i="20"/>
  <c r="U145" i="20"/>
  <c r="T145" i="20"/>
  <c r="S145" i="20"/>
  <c r="R145" i="20"/>
  <c r="Q145" i="20"/>
  <c r="P145" i="20"/>
  <c r="X145" i="20" s="1"/>
  <c r="O145" i="20"/>
  <c r="N145" i="20"/>
  <c r="M145" i="20"/>
  <c r="L145" i="20"/>
  <c r="K145" i="20"/>
  <c r="J145" i="20"/>
  <c r="I145" i="20"/>
  <c r="H145" i="20"/>
  <c r="G145" i="20"/>
  <c r="F145" i="20"/>
  <c r="E145" i="20"/>
  <c r="AH144" i="20"/>
  <c r="AG144" i="20"/>
  <c r="AF144" i="20"/>
  <c r="AE144" i="20"/>
  <c r="AD144" i="20"/>
  <c r="AC144" i="20"/>
  <c r="AB144" i="20"/>
  <c r="AA144" i="20"/>
  <c r="Z144" i="20"/>
  <c r="Y144" i="20"/>
  <c r="W144" i="20"/>
  <c r="V144" i="20"/>
  <c r="U144" i="20"/>
  <c r="T144" i="20"/>
  <c r="S144" i="20"/>
  <c r="R144" i="20"/>
  <c r="Q144" i="20"/>
  <c r="P144" i="20"/>
  <c r="X144" i="20" s="1"/>
  <c r="O144" i="20"/>
  <c r="N144" i="20"/>
  <c r="M144" i="20"/>
  <c r="L144" i="20"/>
  <c r="K144" i="20"/>
  <c r="J144" i="20"/>
  <c r="I144" i="20"/>
  <c r="H144" i="20"/>
  <c r="G144" i="20"/>
  <c r="F144" i="20"/>
  <c r="E144" i="20"/>
  <c r="AH143" i="20"/>
  <c r="AG143" i="20"/>
  <c r="AF143" i="20"/>
  <c r="AE143" i="20"/>
  <c r="AD143" i="20"/>
  <c r="AC143" i="20"/>
  <c r="AB143" i="20"/>
  <c r="AA143" i="20"/>
  <c r="Z143" i="20"/>
  <c r="Y143" i="20"/>
  <c r="W143" i="20"/>
  <c r="V143" i="20"/>
  <c r="U143" i="20"/>
  <c r="T143" i="20"/>
  <c r="S143" i="20"/>
  <c r="R143" i="20"/>
  <c r="Q143" i="20"/>
  <c r="P143" i="20"/>
  <c r="X143" i="20" s="1"/>
  <c r="O143" i="20"/>
  <c r="N143" i="20"/>
  <c r="M143" i="20"/>
  <c r="L143" i="20"/>
  <c r="K143" i="20"/>
  <c r="J143" i="20"/>
  <c r="I143" i="20"/>
  <c r="H143" i="20"/>
  <c r="G143" i="20"/>
  <c r="F143" i="20"/>
  <c r="E143" i="20"/>
  <c r="AH142" i="20"/>
  <c r="AG142" i="20"/>
  <c r="AF142" i="20"/>
  <c r="AE142" i="20"/>
  <c r="AD142" i="20"/>
  <c r="AC142" i="20"/>
  <c r="AB142" i="20"/>
  <c r="AA142" i="20"/>
  <c r="Z142" i="20"/>
  <c r="Y142" i="20"/>
  <c r="W142" i="20"/>
  <c r="V142" i="20"/>
  <c r="U142" i="20"/>
  <c r="T142" i="20"/>
  <c r="S142" i="20"/>
  <c r="R142" i="20"/>
  <c r="Q142" i="20"/>
  <c r="P142" i="20"/>
  <c r="X142" i="20" s="1"/>
  <c r="O142" i="20"/>
  <c r="N142" i="20"/>
  <c r="M142" i="20"/>
  <c r="L142" i="20"/>
  <c r="K142" i="20"/>
  <c r="J142" i="20"/>
  <c r="I142" i="20"/>
  <c r="H142" i="20"/>
  <c r="G142" i="20"/>
  <c r="F142" i="20"/>
  <c r="E142" i="20"/>
  <c r="AH141" i="20"/>
  <c r="AG141" i="20"/>
  <c r="AF141" i="20"/>
  <c r="AE141" i="20"/>
  <c r="AD141" i="20"/>
  <c r="AC141" i="20"/>
  <c r="AB141" i="20"/>
  <c r="AA141" i="20"/>
  <c r="Z141" i="20"/>
  <c r="Y141" i="20"/>
  <c r="W141" i="20"/>
  <c r="V141" i="20"/>
  <c r="U141" i="20"/>
  <c r="T141" i="20"/>
  <c r="S141" i="20"/>
  <c r="R141" i="20"/>
  <c r="Q141" i="20"/>
  <c r="P141" i="20"/>
  <c r="X141" i="20" s="1"/>
  <c r="O141" i="20"/>
  <c r="N141" i="20"/>
  <c r="M141" i="20"/>
  <c r="L141" i="20"/>
  <c r="K141" i="20"/>
  <c r="J141" i="20"/>
  <c r="I141" i="20"/>
  <c r="H141" i="20"/>
  <c r="G141" i="20"/>
  <c r="F141" i="20"/>
  <c r="E141" i="20"/>
  <c r="AH140" i="20"/>
  <c r="AG140" i="20"/>
  <c r="AF140" i="20"/>
  <c r="AE140" i="20"/>
  <c r="AD140" i="20"/>
  <c r="AC140" i="20"/>
  <c r="AB140" i="20"/>
  <c r="AA140" i="20"/>
  <c r="Z140" i="20"/>
  <c r="Y140" i="20"/>
  <c r="W140" i="20"/>
  <c r="V140" i="20"/>
  <c r="U140" i="20"/>
  <c r="T140" i="20"/>
  <c r="S140" i="20"/>
  <c r="R140" i="20"/>
  <c r="Q140" i="20"/>
  <c r="P140" i="20"/>
  <c r="X140" i="20" s="1"/>
  <c r="O140" i="20"/>
  <c r="N140" i="20"/>
  <c r="M140" i="20"/>
  <c r="L140" i="20"/>
  <c r="K140" i="20"/>
  <c r="J140" i="20"/>
  <c r="I140" i="20"/>
  <c r="H140" i="20"/>
  <c r="G140" i="20"/>
  <c r="F140" i="20"/>
  <c r="E140" i="20"/>
  <c r="AH139" i="20"/>
  <c r="AG139" i="20"/>
  <c r="AF139" i="20"/>
  <c r="AE139" i="20"/>
  <c r="AD139" i="20"/>
  <c r="AC139" i="20"/>
  <c r="AB139" i="20"/>
  <c r="AA139" i="20"/>
  <c r="Z139" i="20"/>
  <c r="Y139" i="20"/>
  <c r="W139" i="20"/>
  <c r="V139" i="20"/>
  <c r="U139" i="20"/>
  <c r="T139" i="20"/>
  <c r="S139" i="20"/>
  <c r="R139" i="20"/>
  <c r="Q139" i="20"/>
  <c r="P139" i="20"/>
  <c r="X139" i="20" s="1"/>
  <c r="O139" i="20"/>
  <c r="N139" i="20"/>
  <c r="M139" i="20"/>
  <c r="L139" i="20"/>
  <c r="K139" i="20"/>
  <c r="J139" i="20"/>
  <c r="I139" i="20"/>
  <c r="H139" i="20"/>
  <c r="G139" i="20"/>
  <c r="F139" i="20"/>
  <c r="E139" i="20"/>
  <c r="AH138" i="20"/>
  <c r="AG138" i="20"/>
  <c r="AF138" i="20"/>
  <c r="AE138" i="20"/>
  <c r="AD138" i="20"/>
  <c r="AC138" i="20"/>
  <c r="AB138" i="20"/>
  <c r="AA138" i="20"/>
  <c r="Z138" i="20"/>
  <c r="Y138" i="20"/>
  <c r="W138" i="20"/>
  <c r="V138" i="20"/>
  <c r="U138" i="20"/>
  <c r="T138" i="20"/>
  <c r="S138" i="20"/>
  <c r="R138" i="20"/>
  <c r="Q138" i="20"/>
  <c r="P138" i="20"/>
  <c r="X138" i="20" s="1"/>
  <c r="O138" i="20"/>
  <c r="N138" i="20"/>
  <c r="M138" i="20"/>
  <c r="L138" i="20"/>
  <c r="K138" i="20"/>
  <c r="J138" i="20"/>
  <c r="I138" i="20"/>
  <c r="H138" i="20"/>
  <c r="G138" i="20"/>
  <c r="F138" i="20"/>
  <c r="E138" i="20"/>
  <c r="AH137" i="20"/>
  <c r="AG137" i="20"/>
  <c r="AF137" i="20"/>
  <c r="AE137" i="20"/>
  <c r="AD137" i="20"/>
  <c r="AC137" i="20"/>
  <c r="AB137" i="20"/>
  <c r="AA137" i="20"/>
  <c r="Z137" i="20"/>
  <c r="Y137" i="20"/>
  <c r="W137" i="20"/>
  <c r="V137" i="20"/>
  <c r="U137" i="20"/>
  <c r="T137" i="20"/>
  <c r="S137" i="20"/>
  <c r="R137" i="20"/>
  <c r="Q137" i="20"/>
  <c r="P137" i="20"/>
  <c r="X137" i="20" s="1"/>
  <c r="O137" i="20"/>
  <c r="N137" i="20"/>
  <c r="M137" i="20"/>
  <c r="L137" i="20"/>
  <c r="K137" i="20"/>
  <c r="J137" i="20"/>
  <c r="I137" i="20"/>
  <c r="H137" i="20"/>
  <c r="G137" i="20"/>
  <c r="F137" i="20"/>
  <c r="E137" i="20"/>
  <c r="AH136" i="20"/>
  <c r="AG136" i="20"/>
  <c r="AF136" i="20"/>
  <c r="AE136" i="20"/>
  <c r="AD136" i="20"/>
  <c r="AC136" i="20"/>
  <c r="AB136" i="20"/>
  <c r="AA136" i="20"/>
  <c r="Z136" i="20"/>
  <c r="Y136" i="20"/>
  <c r="W136" i="20"/>
  <c r="V136" i="20"/>
  <c r="U136" i="20"/>
  <c r="T136" i="20"/>
  <c r="S136" i="20"/>
  <c r="R136" i="20"/>
  <c r="Q136" i="20"/>
  <c r="P136" i="20"/>
  <c r="X136" i="20" s="1"/>
  <c r="O136" i="20"/>
  <c r="N136" i="20"/>
  <c r="M136" i="20"/>
  <c r="L136" i="20"/>
  <c r="K136" i="20"/>
  <c r="J136" i="20"/>
  <c r="I136" i="20"/>
  <c r="H136" i="20"/>
  <c r="G136" i="20"/>
  <c r="F136" i="20"/>
  <c r="E136" i="20"/>
  <c r="AH135" i="20"/>
  <c r="AG135" i="20"/>
  <c r="AF135" i="20"/>
  <c r="AE135" i="20"/>
  <c r="AD135" i="20"/>
  <c r="AC135" i="20"/>
  <c r="AB135" i="20"/>
  <c r="AA135" i="20"/>
  <c r="Z135" i="20"/>
  <c r="Y135" i="20"/>
  <c r="W135" i="20"/>
  <c r="V135" i="20"/>
  <c r="U135" i="20"/>
  <c r="T135" i="20"/>
  <c r="S135" i="20"/>
  <c r="R135" i="20"/>
  <c r="Q135" i="20"/>
  <c r="P135" i="20"/>
  <c r="X135" i="20" s="1"/>
  <c r="O135" i="20"/>
  <c r="N135" i="20"/>
  <c r="M135" i="20"/>
  <c r="L135" i="20"/>
  <c r="K135" i="20"/>
  <c r="J135" i="20"/>
  <c r="I135" i="20"/>
  <c r="H135" i="20"/>
  <c r="G135" i="20"/>
  <c r="F135" i="20"/>
  <c r="E135" i="20"/>
  <c r="AH134" i="20"/>
  <c r="AG134" i="20"/>
  <c r="AF134" i="20"/>
  <c r="AE134" i="20"/>
  <c r="AD134" i="20"/>
  <c r="AC134" i="20"/>
  <c r="AB134" i="20"/>
  <c r="AA134" i="20"/>
  <c r="Z134" i="20"/>
  <c r="Y134" i="20"/>
  <c r="W134" i="20"/>
  <c r="V134" i="20"/>
  <c r="U134" i="20"/>
  <c r="T134" i="20"/>
  <c r="S134" i="20"/>
  <c r="R134" i="20"/>
  <c r="Q134" i="20"/>
  <c r="P134" i="20"/>
  <c r="X134" i="20" s="1"/>
  <c r="O134" i="20"/>
  <c r="N134" i="20"/>
  <c r="M134" i="20"/>
  <c r="L134" i="20"/>
  <c r="K134" i="20"/>
  <c r="J134" i="20"/>
  <c r="I134" i="20"/>
  <c r="H134" i="20"/>
  <c r="G134" i="20"/>
  <c r="F134" i="20"/>
  <c r="E134" i="20"/>
  <c r="AH133" i="20"/>
  <c r="AG133" i="20"/>
  <c r="AF133" i="20"/>
  <c r="AE133" i="20"/>
  <c r="AD133" i="20"/>
  <c r="AC133" i="20"/>
  <c r="AB133" i="20"/>
  <c r="AA133" i="20"/>
  <c r="Z133" i="20"/>
  <c r="Y133" i="20"/>
  <c r="W133" i="20"/>
  <c r="V133" i="20"/>
  <c r="U133" i="20"/>
  <c r="T133" i="20"/>
  <c r="S133" i="20"/>
  <c r="R133" i="20"/>
  <c r="Q133" i="20"/>
  <c r="P133" i="20"/>
  <c r="X133" i="20" s="1"/>
  <c r="O133" i="20"/>
  <c r="N133" i="20"/>
  <c r="M133" i="20"/>
  <c r="L133" i="20"/>
  <c r="K133" i="20"/>
  <c r="J133" i="20"/>
  <c r="I133" i="20"/>
  <c r="H133" i="20"/>
  <c r="G133" i="20"/>
  <c r="F133" i="20"/>
  <c r="E133" i="20"/>
  <c r="AH132" i="20"/>
  <c r="AG132" i="20"/>
  <c r="AF132" i="20"/>
  <c r="AE132" i="20"/>
  <c r="AD132" i="20"/>
  <c r="AC132" i="20"/>
  <c r="AB132" i="20"/>
  <c r="AA132" i="20"/>
  <c r="Z132" i="20"/>
  <c r="Y132" i="20"/>
  <c r="W132" i="20"/>
  <c r="V132" i="20"/>
  <c r="U132" i="20"/>
  <c r="T132" i="20"/>
  <c r="S132" i="20"/>
  <c r="R132" i="20"/>
  <c r="Q132" i="20"/>
  <c r="P132" i="20"/>
  <c r="X132" i="20" s="1"/>
  <c r="O132" i="20"/>
  <c r="N132" i="20"/>
  <c r="M132" i="20"/>
  <c r="L132" i="20"/>
  <c r="K132" i="20"/>
  <c r="J132" i="20"/>
  <c r="I132" i="20"/>
  <c r="H132" i="20"/>
  <c r="G132" i="20"/>
  <c r="F132" i="20"/>
  <c r="E132" i="20"/>
  <c r="AH131" i="20"/>
  <c r="AG131" i="20"/>
  <c r="AF131" i="20"/>
  <c r="AE131" i="20"/>
  <c r="AD131" i="20"/>
  <c r="AC131" i="20"/>
  <c r="AB131" i="20"/>
  <c r="AA131" i="20"/>
  <c r="Z131" i="20"/>
  <c r="Y131" i="20"/>
  <c r="W131" i="20"/>
  <c r="V131" i="20"/>
  <c r="U131" i="20"/>
  <c r="T131" i="20"/>
  <c r="S131" i="20"/>
  <c r="R131" i="20"/>
  <c r="Q131" i="20"/>
  <c r="P131" i="20"/>
  <c r="X131" i="20" s="1"/>
  <c r="O131" i="20"/>
  <c r="N131" i="20"/>
  <c r="M131" i="20"/>
  <c r="L131" i="20"/>
  <c r="K131" i="20"/>
  <c r="J131" i="20"/>
  <c r="I131" i="20"/>
  <c r="H131" i="20"/>
  <c r="G131" i="20"/>
  <c r="F131" i="20"/>
  <c r="E131" i="20"/>
  <c r="AH130" i="20"/>
  <c r="AG130" i="20"/>
  <c r="AF130" i="20"/>
  <c r="AE130" i="20"/>
  <c r="AD130" i="20"/>
  <c r="AC130" i="20"/>
  <c r="AB130" i="20"/>
  <c r="AA130" i="20"/>
  <c r="Z130" i="20"/>
  <c r="Y130" i="20"/>
  <c r="W130" i="20"/>
  <c r="V130" i="20"/>
  <c r="U130" i="20"/>
  <c r="T130" i="20"/>
  <c r="S130" i="20"/>
  <c r="R130" i="20"/>
  <c r="Q130" i="20"/>
  <c r="P130" i="20"/>
  <c r="X130" i="20" s="1"/>
  <c r="O130" i="20"/>
  <c r="N130" i="20"/>
  <c r="M130" i="20"/>
  <c r="L130" i="20"/>
  <c r="K130" i="20"/>
  <c r="J130" i="20"/>
  <c r="I130" i="20"/>
  <c r="H130" i="20"/>
  <c r="G130" i="20"/>
  <c r="F130" i="20"/>
  <c r="E130" i="20"/>
  <c r="AQ129" i="20"/>
  <c r="AH129" i="20"/>
  <c r="AG129" i="20"/>
  <c r="AF129" i="20"/>
  <c r="AE129" i="20"/>
  <c r="AD129" i="20"/>
  <c r="AC129" i="20"/>
  <c r="AB129" i="20"/>
  <c r="AK129" i="20" s="1"/>
  <c r="AA129" i="20"/>
  <c r="Z129" i="20"/>
  <c r="Y129" i="20"/>
  <c r="W129" i="20"/>
  <c r="V129" i="20"/>
  <c r="U129" i="20"/>
  <c r="T129" i="20"/>
  <c r="S129" i="20"/>
  <c r="R129" i="20"/>
  <c r="Q129" i="20"/>
  <c r="P129" i="20"/>
  <c r="X129" i="20" s="1"/>
  <c r="O129" i="20"/>
  <c r="N129" i="20"/>
  <c r="M129" i="20"/>
  <c r="L129" i="20"/>
  <c r="K129" i="20"/>
  <c r="J129" i="20"/>
  <c r="I129" i="20"/>
  <c r="H129" i="20"/>
  <c r="G129" i="20"/>
  <c r="F129" i="20"/>
  <c r="E129" i="20"/>
  <c r="AH125" i="20"/>
  <c r="AG125" i="20"/>
  <c r="AF125" i="20"/>
  <c r="AE125" i="20"/>
  <c r="AD125" i="20"/>
  <c r="AC125" i="20"/>
  <c r="AB125" i="20"/>
  <c r="AA125" i="20"/>
  <c r="Z125" i="20"/>
  <c r="Y125" i="20"/>
  <c r="W125" i="20"/>
  <c r="V125" i="20"/>
  <c r="U125" i="20"/>
  <c r="T125" i="20"/>
  <c r="S125" i="20"/>
  <c r="R125" i="20"/>
  <c r="Q125" i="20"/>
  <c r="P125" i="20"/>
  <c r="X125" i="20" s="1"/>
  <c r="O125" i="20"/>
  <c r="N125" i="20"/>
  <c r="M125" i="20"/>
  <c r="L125" i="20"/>
  <c r="K125" i="20"/>
  <c r="J125" i="20"/>
  <c r="I125" i="20"/>
  <c r="H125" i="20"/>
  <c r="G125" i="20"/>
  <c r="F125" i="20"/>
  <c r="E125" i="20"/>
  <c r="AH124" i="20"/>
  <c r="AG124" i="20"/>
  <c r="AF124" i="20"/>
  <c r="AE124" i="20"/>
  <c r="AD124" i="20"/>
  <c r="AC124" i="20"/>
  <c r="AB124" i="20"/>
  <c r="AA124" i="20"/>
  <c r="Z124" i="20"/>
  <c r="Y124" i="20"/>
  <c r="W124" i="20"/>
  <c r="V124" i="20"/>
  <c r="U124" i="20"/>
  <c r="T124" i="20"/>
  <c r="S124" i="20"/>
  <c r="R124" i="20"/>
  <c r="Q124" i="20"/>
  <c r="P124" i="20"/>
  <c r="X124" i="20" s="1"/>
  <c r="O124" i="20"/>
  <c r="N124" i="20"/>
  <c r="M124" i="20"/>
  <c r="L124" i="20"/>
  <c r="K124" i="20"/>
  <c r="J124" i="20"/>
  <c r="I124" i="20"/>
  <c r="H124" i="20"/>
  <c r="G124" i="20"/>
  <c r="F124" i="20"/>
  <c r="E124" i="20"/>
  <c r="AH123" i="20"/>
  <c r="AG123" i="20"/>
  <c r="AF123" i="20"/>
  <c r="AE123" i="20"/>
  <c r="AD123" i="20"/>
  <c r="AC123" i="20"/>
  <c r="AB123" i="20"/>
  <c r="AA123" i="20"/>
  <c r="Z123" i="20"/>
  <c r="Y123" i="20"/>
  <c r="W123" i="20"/>
  <c r="V123" i="20"/>
  <c r="U123" i="20"/>
  <c r="T123" i="20"/>
  <c r="S123" i="20"/>
  <c r="R123" i="20"/>
  <c r="Q123" i="20"/>
  <c r="P123" i="20"/>
  <c r="X123" i="20" s="1"/>
  <c r="O123" i="20"/>
  <c r="N123" i="20"/>
  <c r="M123" i="20"/>
  <c r="L123" i="20"/>
  <c r="K123" i="20"/>
  <c r="J123" i="20"/>
  <c r="I123" i="20"/>
  <c r="H123" i="20"/>
  <c r="G123" i="20"/>
  <c r="F123" i="20"/>
  <c r="E123" i="20"/>
  <c r="AH122" i="20"/>
  <c r="AG122" i="20"/>
  <c r="AF122" i="20"/>
  <c r="AE122" i="20"/>
  <c r="AD122" i="20"/>
  <c r="AC122" i="20"/>
  <c r="AB122" i="20"/>
  <c r="AA122" i="20"/>
  <c r="Z122" i="20"/>
  <c r="Y122" i="20"/>
  <c r="W122" i="20"/>
  <c r="V122" i="20"/>
  <c r="U122" i="20"/>
  <c r="T122" i="20"/>
  <c r="S122" i="20"/>
  <c r="R122" i="20"/>
  <c r="Q122" i="20"/>
  <c r="P122" i="20"/>
  <c r="X122" i="20" s="1"/>
  <c r="O122" i="20"/>
  <c r="N122" i="20"/>
  <c r="M122" i="20"/>
  <c r="L122" i="20"/>
  <c r="K122" i="20"/>
  <c r="J122" i="20"/>
  <c r="I122" i="20"/>
  <c r="H122" i="20"/>
  <c r="G122" i="20"/>
  <c r="F122" i="20"/>
  <c r="E122" i="20"/>
  <c r="AH121" i="20"/>
  <c r="AG121" i="20"/>
  <c r="AF121" i="20"/>
  <c r="AE121" i="20"/>
  <c r="AD121" i="20"/>
  <c r="AC121" i="20"/>
  <c r="AB121" i="20"/>
  <c r="AS108" i="20" s="1"/>
  <c r="AA121" i="20"/>
  <c r="Z121" i="20"/>
  <c r="Y121" i="20"/>
  <c r="W121" i="20"/>
  <c r="V121" i="20"/>
  <c r="U121" i="20"/>
  <c r="T121" i="20"/>
  <c r="S121" i="20"/>
  <c r="R121" i="20"/>
  <c r="Q121" i="20"/>
  <c r="P121" i="20"/>
  <c r="X121" i="20" s="1"/>
  <c r="O121" i="20"/>
  <c r="N121" i="20"/>
  <c r="M121" i="20"/>
  <c r="L121" i="20"/>
  <c r="K121" i="20"/>
  <c r="J121" i="20"/>
  <c r="I121" i="20"/>
  <c r="H121" i="20"/>
  <c r="G121" i="20"/>
  <c r="F121" i="20"/>
  <c r="E121" i="20"/>
  <c r="AH120" i="20"/>
  <c r="AG120" i="20"/>
  <c r="AF120" i="20"/>
  <c r="AE120" i="20"/>
  <c r="AD120" i="20"/>
  <c r="AC120" i="20"/>
  <c r="AB120" i="20"/>
  <c r="AA120" i="20"/>
  <c r="Z120" i="20"/>
  <c r="Y120" i="20"/>
  <c r="W120" i="20"/>
  <c r="V120" i="20"/>
  <c r="U120" i="20"/>
  <c r="T120" i="20"/>
  <c r="S120" i="20"/>
  <c r="R120" i="20"/>
  <c r="Q120" i="20"/>
  <c r="P120" i="20"/>
  <c r="X120" i="20" s="1"/>
  <c r="O120" i="20"/>
  <c r="N120" i="20"/>
  <c r="M120" i="20"/>
  <c r="L120" i="20"/>
  <c r="K120" i="20"/>
  <c r="J120" i="20"/>
  <c r="I120" i="20"/>
  <c r="H120" i="20"/>
  <c r="G120" i="20"/>
  <c r="F120" i="20"/>
  <c r="E120" i="20"/>
  <c r="AH119" i="20"/>
  <c r="AG119" i="20"/>
  <c r="AF119" i="20"/>
  <c r="AE119" i="20"/>
  <c r="AD119" i="20"/>
  <c r="AC119" i="20"/>
  <c r="AB119" i="20"/>
  <c r="AA119" i="20"/>
  <c r="Z119" i="20"/>
  <c r="Y119" i="20"/>
  <c r="W119" i="20"/>
  <c r="V119" i="20"/>
  <c r="U119" i="20"/>
  <c r="T119" i="20"/>
  <c r="S119" i="20"/>
  <c r="R119" i="20"/>
  <c r="Q119" i="20"/>
  <c r="P119" i="20"/>
  <c r="X119" i="20" s="1"/>
  <c r="O119" i="20"/>
  <c r="N119" i="20"/>
  <c r="M119" i="20"/>
  <c r="L119" i="20"/>
  <c r="K119" i="20"/>
  <c r="J119" i="20"/>
  <c r="I119" i="20"/>
  <c r="H119" i="20"/>
  <c r="G119" i="20"/>
  <c r="F119" i="20"/>
  <c r="E119" i="20"/>
  <c r="AH118" i="20"/>
  <c r="AG118" i="20"/>
  <c r="AF118" i="20"/>
  <c r="AE118" i="20"/>
  <c r="AD118" i="20"/>
  <c r="AC118" i="20"/>
  <c r="AB118" i="20"/>
  <c r="AA118" i="20"/>
  <c r="Z118" i="20"/>
  <c r="Y118" i="20"/>
  <c r="W118" i="20"/>
  <c r="V118" i="20"/>
  <c r="U118" i="20"/>
  <c r="T118" i="20"/>
  <c r="S118" i="20"/>
  <c r="R118" i="20"/>
  <c r="Q118" i="20"/>
  <c r="P118" i="20"/>
  <c r="X118" i="20" s="1"/>
  <c r="O118" i="20"/>
  <c r="N118" i="20"/>
  <c r="M118" i="20"/>
  <c r="L118" i="20"/>
  <c r="K118" i="20"/>
  <c r="J118" i="20"/>
  <c r="I118" i="20"/>
  <c r="H118" i="20"/>
  <c r="G118" i="20"/>
  <c r="F118" i="20"/>
  <c r="E118" i="20"/>
  <c r="AH117" i="20"/>
  <c r="AG117" i="20"/>
  <c r="AF117" i="20"/>
  <c r="AE117" i="20"/>
  <c r="AD117" i="20"/>
  <c r="AC117" i="20"/>
  <c r="AB117" i="20"/>
  <c r="AA117" i="20"/>
  <c r="Z117" i="20"/>
  <c r="Y117" i="20"/>
  <c r="W117" i="20"/>
  <c r="V117" i="20"/>
  <c r="U117" i="20"/>
  <c r="T117" i="20"/>
  <c r="S117" i="20"/>
  <c r="R117" i="20"/>
  <c r="Q117" i="20"/>
  <c r="P117" i="20"/>
  <c r="X117" i="20" s="1"/>
  <c r="O117" i="20"/>
  <c r="N117" i="20"/>
  <c r="M117" i="20"/>
  <c r="L117" i="20"/>
  <c r="K117" i="20"/>
  <c r="J117" i="20"/>
  <c r="I117" i="20"/>
  <c r="H117" i="20"/>
  <c r="G117" i="20"/>
  <c r="F117" i="20"/>
  <c r="E117" i="20"/>
  <c r="AH116" i="20"/>
  <c r="AG116" i="20"/>
  <c r="AF116" i="20"/>
  <c r="AE116" i="20"/>
  <c r="AD116" i="20"/>
  <c r="AC116" i="20"/>
  <c r="AB116" i="20"/>
  <c r="AA116" i="20"/>
  <c r="Z116" i="20"/>
  <c r="Y116" i="20"/>
  <c r="W116" i="20"/>
  <c r="V116" i="20"/>
  <c r="U116" i="20"/>
  <c r="T116" i="20"/>
  <c r="S116" i="20"/>
  <c r="R116" i="20"/>
  <c r="Q116" i="20"/>
  <c r="P116" i="20"/>
  <c r="X116" i="20" s="1"/>
  <c r="O116" i="20"/>
  <c r="N116" i="20"/>
  <c r="M116" i="20"/>
  <c r="L116" i="20"/>
  <c r="K116" i="20"/>
  <c r="J116" i="20"/>
  <c r="I116" i="20"/>
  <c r="H116" i="20"/>
  <c r="G116" i="20"/>
  <c r="F116" i="20"/>
  <c r="E116" i="20"/>
  <c r="AH115" i="20"/>
  <c r="AG115" i="20"/>
  <c r="AF115" i="20"/>
  <c r="AE115" i="20"/>
  <c r="AD115" i="20"/>
  <c r="AC115" i="20"/>
  <c r="AB115" i="20"/>
  <c r="AA115" i="20"/>
  <c r="Z115" i="20"/>
  <c r="Y115" i="20"/>
  <c r="W115" i="20"/>
  <c r="V115" i="20"/>
  <c r="U115" i="20"/>
  <c r="T115" i="20"/>
  <c r="S115" i="20"/>
  <c r="R115" i="20"/>
  <c r="Q115" i="20"/>
  <c r="P115" i="20"/>
  <c r="X115" i="20" s="1"/>
  <c r="O115" i="20"/>
  <c r="N115" i="20"/>
  <c r="M115" i="20"/>
  <c r="L115" i="20"/>
  <c r="K115" i="20"/>
  <c r="J115" i="20"/>
  <c r="I115" i="20"/>
  <c r="H115" i="20"/>
  <c r="G115" i="20"/>
  <c r="F115" i="20"/>
  <c r="E115" i="20"/>
  <c r="AH114" i="20"/>
  <c r="AG114" i="20"/>
  <c r="AF114" i="20"/>
  <c r="AE114" i="20"/>
  <c r="AD114" i="20"/>
  <c r="AC114" i="20"/>
  <c r="AB114" i="20"/>
  <c r="AA114" i="20"/>
  <c r="Z114" i="20"/>
  <c r="Y114" i="20"/>
  <c r="W114" i="20"/>
  <c r="V114" i="20"/>
  <c r="U114" i="20"/>
  <c r="T114" i="20"/>
  <c r="S114" i="20"/>
  <c r="R114" i="20"/>
  <c r="Q114" i="20"/>
  <c r="P114" i="20"/>
  <c r="X114" i="20" s="1"/>
  <c r="O114" i="20"/>
  <c r="N114" i="20"/>
  <c r="M114" i="20"/>
  <c r="L114" i="20"/>
  <c r="K114" i="20"/>
  <c r="J114" i="20"/>
  <c r="I114" i="20"/>
  <c r="H114" i="20"/>
  <c r="G114" i="20"/>
  <c r="F114" i="20"/>
  <c r="E114" i="20"/>
  <c r="AH113" i="20"/>
  <c r="AG113" i="20"/>
  <c r="AF113" i="20"/>
  <c r="AE113" i="20"/>
  <c r="AD113" i="20"/>
  <c r="AC113" i="20"/>
  <c r="AB113" i="20"/>
  <c r="AA113" i="20"/>
  <c r="Z113" i="20"/>
  <c r="Y113" i="20"/>
  <c r="W113" i="20"/>
  <c r="V113" i="20"/>
  <c r="U113" i="20"/>
  <c r="T113" i="20"/>
  <c r="S113" i="20"/>
  <c r="R113" i="20"/>
  <c r="Q113" i="20"/>
  <c r="P113" i="20"/>
  <c r="X113" i="20" s="1"/>
  <c r="O113" i="20"/>
  <c r="N113" i="20"/>
  <c r="M113" i="20"/>
  <c r="L113" i="20"/>
  <c r="K113" i="20"/>
  <c r="J113" i="20"/>
  <c r="I113" i="20"/>
  <c r="H113" i="20"/>
  <c r="G113" i="20"/>
  <c r="F113" i="20"/>
  <c r="E113" i="20"/>
  <c r="AH112" i="20"/>
  <c r="AG112" i="20"/>
  <c r="AF112" i="20"/>
  <c r="AE112" i="20"/>
  <c r="AD112" i="20"/>
  <c r="AC112" i="20"/>
  <c r="AB112" i="20"/>
  <c r="AA112" i="20"/>
  <c r="Z112" i="20"/>
  <c r="Y112" i="20"/>
  <c r="W112" i="20"/>
  <c r="V112" i="20"/>
  <c r="U112" i="20"/>
  <c r="T112" i="20"/>
  <c r="S112" i="20"/>
  <c r="R112" i="20"/>
  <c r="Q112" i="20"/>
  <c r="P112" i="20"/>
  <c r="X112" i="20" s="1"/>
  <c r="O112" i="20"/>
  <c r="N112" i="20"/>
  <c r="M112" i="20"/>
  <c r="L112" i="20"/>
  <c r="K112" i="20"/>
  <c r="J112" i="20"/>
  <c r="I112" i="20"/>
  <c r="H112" i="20"/>
  <c r="G112" i="20"/>
  <c r="F112" i="20"/>
  <c r="E112" i="20"/>
  <c r="AH111" i="20"/>
  <c r="AG111" i="20"/>
  <c r="AF111" i="20"/>
  <c r="AE111" i="20"/>
  <c r="AD111" i="20"/>
  <c r="AC111" i="20"/>
  <c r="AB111" i="20"/>
  <c r="AA111" i="20"/>
  <c r="Z111" i="20"/>
  <c r="Y111" i="20"/>
  <c r="W111" i="20"/>
  <c r="V111" i="20"/>
  <c r="U111" i="20"/>
  <c r="T111" i="20"/>
  <c r="S111" i="20"/>
  <c r="R111" i="20"/>
  <c r="Q111" i="20"/>
  <c r="P111" i="20"/>
  <c r="X111" i="20" s="1"/>
  <c r="O111" i="20"/>
  <c r="N111" i="20"/>
  <c r="M111" i="20"/>
  <c r="L111" i="20"/>
  <c r="K111" i="20"/>
  <c r="J111" i="20"/>
  <c r="I111" i="20"/>
  <c r="H111" i="20"/>
  <c r="G111" i="20"/>
  <c r="F111" i="20"/>
  <c r="E111" i="20"/>
  <c r="AH110" i="20"/>
  <c r="AG110" i="20"/>
  <c r="AF110" i="20"/>
  <c r="AE110" i="20"/>
  <c r="AD110" i="20"/>
  <c r="AC110" i="20"/>
  <c r="AB110" i="20"/>
  <c r="AA110" i="20"/>
  <c r="Z110" i="20"/>
  <c r="Y110" i="20"/>
  <c r="W110" i="20"/>
  <c r="V110" i="20"/>
  <c r="U110" i="20"/>
  <c r="T110" i="20"/>
  <c r="S110" i="20"/>
  <c r="R110" i="20"/>
  <c r="Q110" i="20"/>
  <c r="P110" i="20"/>
  <c r="X110" i="20" s="1"/>
  <c r="O110" i="20"/>
  <c r="N110" i="20"/>
  <c r="M110" i="20"/>
  <c r="L110" i="20"/>
  <c r="K110" i="20"/>
  <c r="J110" i="20"/>
  <c r="I110" i="20"/>
  <c r="H110" i="20"/>
  <c r="G110" i="20"/>
  <c r="F110" i="20"/>
  <c r="E110" i="20"/>
  <c r="AH109" i="20"/>
  <c r="AG109" i="20"/>
  <c r="AF109" i="20"/>
  <c r="AE109" i="20"/>
  <c r="AD109" i="20"/>
  <c r="AC109" i="20"/>
  <c r="AB109" i="20"/>
  <c r="AA109" i="20"/>
  <c r="Z109" i="20"/>
  <c r="Y109" i="20"/>
  <c r="W109" i="20"/>
  <c r="V109" i="20"/>
  <c r="U109" i="20"/>
  <c r="T109" i="20"/>
  <c r="S109" i="20"/>
  <c r="R109" i="20"/>
  <c r="Q109" i="20"/>
  <c r="P109" i="20"/>
  <c r="X109" i="20" s="1"/>
  <c r="O109" i="20"/>
  <c r="N109" i="20"/>
  <c r="M109" i="20"/>
  <c r="L109" i="20"/>
  <c r="K109" i="20"/>
  <c r="J109" i="20"/>
  <c r="I109" i="20"/>
  <c r="H109" i="20"/>
  <c r="G109" i="20"/>
  <c r="F109" i="20"/>
  <c r="E109" i="20"/>
  <c r="AI108" i="20"/>
  <c r="AH108" i="20"/>
  <c r="AG108" i="20"/>
  <c r="AF108" i="20"/>
  <c r="AE108" i="20"/>
  <c r="AD108" i="20"/>
  <c r="AC108" i="20"/>
  <c r="AB108" i="20"/>
  <c r="AK108" i="20" s="1"/>
  <c r="AA108" i="20"/>
  <c r="Z108" i="20"/>
  <c r="Y108" i="20"/>
  <c r="W108" i="20"/>
  <c r="V108" i="20"/>
  <c r="U108" i="20"/>
  <c r="T108" i="20"/>
  <c r="S108" i="20"/>
  <c r="R108" i="20"/>
  <c r="Q108" i="20"/>
  <c r="P108" i="20"/>
  <c r="X108" i="20" s="1"/>
  <c r="O108" i="20"/>
  <c r="N108" i="20"/>
  <c r="M108" i="20"/>
  <c r="L108" i="20"/>
  <c r="K108" i="20"/>
  <c r="J108" i="20"/>
  <c r="I108" i="20"/>
  <c r="H108" i="20"/>
  <c r="G108" i="20"/>
  <c r="F108" i="20"/>
  <c r="E108" i="20"/>
  <c r="AH104" i="20"/>
  <c r="AG104" i="20"/>
  <c r="AF104" i="20"/>
  <c r="AE104" i="20"/>
  <c r="AD104" i="20"/>
  <c r="AC104" i="20"/>
  <c r="AB104" i="20"/>
  <c r="AA104" i="20"/>
  <c r="Z104" i="20"/>
  <c r="Y104" i="20"/>
  <c r="W104" i="20"/>
  <c r="V104" i="20"/>
  <c r="U104" i="20"/>
  <c r="T104" i="20"/>
  <c r="S104" i="20"/>
  <c r="R104" i="20"/>
  <c r="Q104" i="20"/>
  <c r="P104" i="20"/>
  <c r="X104" i="20" s="1"/>
  <c r="O104" i="20"/>
  <c r="N104" i="20"/>
  <c r="M104" i="20"/>
  <c r="L104" i="20"/>
  <c r="K104" i="20"/>
  <c r="J104" i="20"/>
  <c r="I104" i="20"/>
  <c r="H104" i="20"/>
  <c r="G104" i="20"/>
  <c r="F104" i="20"/>
  <c r="E104" i="20"/>
  <c r="AH103" i="20"/>
  <c r="AG103" i="20"/>
  <c r="AF103" i="20"/>
  <c r="AE103" i="20"/>
  <c r="AD103" i="20"/>
  <c r="AC103" i="20"/>
  <c r="AB103" i="20"/>
  <c r="AA103" i="20"/>
  <c r="Z103" i="20"/>
  <c r="Y103" i="20"/>
  <c r="W103" i="20"/>
  <c r="V103" i="20"/>
  <c r="U103" i="20"/>
  <c r="T103" i="20"/>
  <c r="S103" i="20"/>
  <c r="R103" i="20"/>
  <c r="Q103" i="20"/>
  <c r="P103" i="20"/>
  <c r="X103" i="20" s="1"/>
  <c r="O103" i="20"/>
  <c r="N103" i="20"/>
  <c r="M103" i="20"/>
  <c r="L103" i="20"/>
  <c r="K103" i="20"/>
  <c r="J103" i="20"/>
  <c r="I103" i="20"/>
  <c r="H103" i="20"/>
  <c r="G103" i="20"/>
  <c r="F103" i="20"/>
  <c r="E103" i="20"/>
  <c r="AH102" i="20"/>
  <c r="AG102" i="20"/>
  <c r="AF102" i="20"/>
  <c r="AE102" i="20"/>
  <c r="AD102" i="20"/>
  <c r="AC102" i="20"/>
  <c r="AB102" i="20"/>
  <c r="AA102" i="20"/>
  <c r="Z102" i="20"/>
  <c r="Y102" i="20"/>
  <c r="W102" i="20"/>
  <c r="V102" i="20"/>
  <c r="U102" i="20"/>
  <c r="T102" i="20"/>
  <c r="S102" i="20"/>
  <c r="R102" i="20"/>
  <c r="Q102" i="20"/>
  <c r="P102" i="20"/>
  <c r="X102" i="20" s="1"/>
  <c r="O102" i="20"/>
  <c r="N102" i="20"/>
  <c r="M102" i="20"/>
  <c r="L102" i="20"/>
  <c r="K102" i="20"/>
  <c r="J102" i="20"/>
  <c r="I102" i="20"/>
  <c r="H102" i="20"/>
  <c r="G102" i="20"/>
  <c r="F102" i="20"/>
  <c r="E102" i="20"/>
  <c r="AH101" i="20"/>
  <c r="AG101" i="20"/>
  <c r="AF101" i="20"/>
  <c r="AE101" i="20"/>
  <c r="AD101" i="20"/>
  <c r="AC101" i="20"/>
  <c r="AB101" i="20"/>
  <c r="AA101" i="20"/>
  <c r="Z101" i="20"/>
  <c r="Y101" i="20"/>
  <c r="W101" i="20"/>
  <c r="V101" i="20"/>
  <c r="U101" i="20"/>
  <c r="T101" i="20"/>
  <c r="S101" i="20"/>
  <c r="R101" i="20"/>
  <c r="Q101" i="20"/>
  <c r="P101" i="20"/>
  <c r="X101" i="20" s="1"/>
  <c r="O101" i="20"/>
  <c r="N101" i="20"/>
  <c r="M101" i="20"/>
  <c r="L101" i="20"/>
  <c r="K101" i="20"/>
  <c r="J101" i="20"/>
  <c r="I101" i="20"/>
  <c r="H101" i="20"/>
  <c r="G101" i="20"/>
  <c r="F101" i="20"/>
  <c r="E101" i="20"/>
  <c r="AH100" i="20"/>
  <c r="AG100" i="20"/>
  <c r="AF100" i="20"/>
  <c r="AE100" i="20"/>
  <c r="AD100" i="20"/>
  <c r="AC100" i="20"/>
  <c r="AB100" i="20"/>
  <c r="AS87" i="20" s="1"/>
  <c r="AA100" i="20"/>
  <c r="Z100" i="20"/>
  <c r="Y100" i="20"/>
  <c r="W100" i="20"/>
  <c r="V100" i="20"/>
  <c r="U100" i="20"/>
  <c r="T100" i="20"/>
  <c r="S100" i="20"/>
  <c r="R100" i="20"/>
  <c r="Q100" i="20"/>
  <c r="P100" i="20"/>
  <c r="X100" i="20" s="1"/>
  <c r="O100" i="20"/>
  <c r="N100" i="20"/>
  <c r="M100" i="20"/>
  <c r="L100" i="20"/>
  <c r="K100" i="20"/>
  <c r="J100" i="20"/>
  <c r="I100" i="20"/>
  <c r="H100" i="20"/>
  <c r="G100" i="20"/>
  <c r="F100" i="20"/>
  <c r="E100" i="20"/>
  <c r="AH99" i="20"/>
  <c r="AG99" i="20"/>
  <c r="AF99" i="20"/>
  <c r="AE99" i="20"/>
  <c r="AD99" i="20"/>
  <c r="AC99" i="20"/>
  <c r="AB99" i="20"/>
  <c r="AA99" i="20"/>
  <c r="Z99" i="20"/>
  <c r="Y99" i="20"/>
  <c r="W99" i="20"/>
  <c r="V99" i="20"/>
  <c r="U99" i="20"/>
  <c r="T99" i="20"/>
  <c r="S99" i="20"/>
  <c r="R99" i="20"/>
  <c r="Q99" i="20"/>
  <c r="P99" i="20"/>
  <c r="X99" i="20" s="1"/>
  <c r="O99" i="20"/>
  <c r="N99" i="20"/>
  <c r="M99" i="20"/>
  <c r="L99" i="20"/>
  <c r="K99" i="20"/>
  <c r="J99" i="20"/>
  <c r="I99" i="20"/>
  <c r="H99" i="20"/>
  <c r="G99" i="20"/>
  <c r="F99" i="20"/>
  <c r="E99" i="20"/>
  <c r="AH98" i="20"/>
  <c r="AG98" i="20"/>
  <c r="AF98" i="20"/>
  <c r="AE98" i="20"/>
  <c r="AD98" i="20"/>
  <c r="AC98" i="20"/>
  <c r="AB98" i="20"/>
  <c r="AA98" i="20"/>
  <c r="Z98" i="20"/>
  <c r="Y98" i="20"/>
  <c r="W98" i="20"/>
  <c r="V98" i="20"/>
  <c r="U98" i="20"/>
  <c r="T98" i="20"/>
  <c r="S98" i="20"/>
  <c r="R98" i="20"/>
  <c r="Q98" i="20"/>
  <c r="P98" i="20"/>
  <c r="X98" i="20" s="1"/>
  <c r="O98" i="20"/>
  <c r="N98" i="20"/>
  <c r="M98" i="20"/>
  <c r="L98" i="20"/>
  <c r="K98" i="20"/>
  <c r="J98" i="20"/>
  <c r="I98" i="20"/>
  <c r="H98" i="20"/>
  <c r="G98" i="20"/>
  <c r="F98" i="20"/>
  <c r="E98" i="20"/>
  <c r="AH97" i="20"/>
  <c r="AG97" i="20"/>
  <c r="AF97" i="20"/>
  <c r="AE97" i="20"/>
  <c r="AD97" i="20"/>
  <c r="AC97" i="20"/>
  <c r="AB97" i="20"/>
  <c r="AA97" i="20"/>
  <c r="Z97" i="20"/>
  <c r="Y97" i="20"/>
  <c r="W97" i="20"/>
  <c r="V97" i="20"/>
  <c r="U97" i="20"/>
  <c r="T97" i="20"/>
  <c r="S97" i="20"/>
  <c r="R97" i="20"/>
  <c r="Q97" i="20"/>
  <c r="P97" i="20"/>
  <c r="X97" i="20" s="1"/>
  <c r="O97" i="20"/>
  <c r="N97" i="20"/>
  <c r="M97" i="20"/>
  <c r="L97" i="20"/>
  <c r="K97" i="20"/>
  <c r="J97" i="20"/>
  <c r="I97" i="20"/>
  <c r="H97" i="20"/>
  <c r="G97" i="20"/>
  <c r="F97" i="20"/>
  <c r="E97" i="20"/>
  <c r="AH96" i="20"/>
  <c r="AG96" i="20"/>
  <c r="AF96" i="20"/>
  <c r="AE96" i="20"/>
  <c r="AD96" i="20"/>
  <c r="AC96" i="20"/>
  <c r="AB96" i="20"/>
  <c r="AA96" i="20"/>
  <c r="Z96" i="20"/>
  <c r="Y96" i="20"/>
  <c r="W96" i="20"/>
  <c r="V96" i="20"/>
  <c r="U96" i="20"/>
  <c r="T96" i="20"/>
  <c r="S96" i="20"/>
  <c r="R96" i="20"/>
  <c r="Q96" i="20"/>
  <c r="P96" i="20"/>
  <c r="X96" i="20" s="1"/>
  <c r="O96" i="20"/>
  <c r="N96" i="20"/>
  <c r="M96" i="20"/>
  <c r="L96" i="20"/>
  <c r="K96" i="20"/>
  <c r="J96" i="20"/>
  <c r="I96" i="20"/>
  <c r="H96" i="20"/>
  <c r="G96" i="20"/>
  <c r="F96" i="20"/>
  <c r="E96" i="20"/>
  <c r="AH95" i="20"/>
  <c r="AG95" i="20"/>
  <c r="AF95" i="20"/>
  <c r="AE95" i="20"/>
  <c r="AD95" i="20"/>
  <c r="AC95" i="20"/>
  <c r="AB95" i="20"/>
  <c r="AA95" i="20"/>
  <c r="Z95" i="20"/>
  <c r="Y95" i="20"/>
  <c r="W95" i="20"/>
  <c r="V95" i="20"/>
  <c r="U95" i="20"/>
  <c r="T95" i="20"/>
  <c r="S95" i="20"/>
  <c r="R95" i="20"/>
  <c r="Q95" i="20"/>
  <c r="P95" i="20"/>
  <c r="X95" i="20" s="1"/>
  <c r="O95" i="20"/>
  <c r="N95" i="20"/>
  <c r="M95" i="20"/>
  <c r="L95" i="20"/>
  <c r="K95" i="20"/>
  <c r="J95" i="20"/>
  <c r="I95" i="20"/>
  <c r="H95" i="20"/>
  <c r="G95" i="20"/>
  <c r="F95" i="20"/>
  <c r="E95" i="20"/>
  <c r="AH94" i="20"/>
  <c r="AG94" i="20"/>
  <c r="AF94" i="20"/>
  <c r="AE94" i="20"/>
  <c r="AD94" i="20"/>
  <c r="AC94" i="20"/>
  <c r="AB94" i="20"/>
  <c r="AA94" i="20"/>
  <c r="Z94" i="20"/>
  <c r="Y94" i="20"/>
  <c r="W94" i="20"/>
  <c r="V94" i="20"/>
  <c r="U94" i="20"/>
  <c r="T94" i="20"/>
  <c r="S94" i="20"/>
  <c r="R94" i="20"/>
  <c r="Q94" i="20"/>
  <c r="P94" i="20"/>
  <c r="X94" i="20" s="1"/>
  <c r="O94" i="20"/>
  <c r="N94" i="20"/>
  <c r="M94" i="20"/>
  <c r="L94" i="20"/>
  <c r="K94" i="20"/>
  <c r="J94" i="20"/>
  <c r="I94" i="20"/>
  <c r="H94" i="20"/>
  <c r="G94" i="20"/>
  <c r="F94" i="20"/>
  <c r="E94" i="20"/>
  <c r="AH93" i="20"/>
  <c r="AG93" i="20"/>
  <c r="AF93" i="20"/>
  <c r="AE93" i="20"/>
  <c r="AD93" i="20"/>
  <c r="AC93" i="20"/>
  <c r="AB93" i="20"/>
  <c r="AA93" i="20"/>
  <c r="Z93" i="20"/>
  <c r="Y93" i="20"/>
  <c r="W93" i="20"/>
  <c r="V93" i="20"/>
  <c r="U93" i="20"/>
  <c r="T93" i="20"/>
  <c r="S93" i="20"/>
  <c r="R93" i="20"/>
  <c r="Q93" i="20"/>
  <c r="P93" i="20"/>
  <c r="X93" i="20" s="1"/>
  <c r="O93" i="20"/>
  <c r="N93" i="20"/>
  <c r="M93" i="20"/>
  <c r="L93" i="20"/>
  <c r="K93" i="20"/>
  <c r="J93" i="20"/>
  <c r="I93" i="20"/>
  <c r="H93" i="20"/>
  <c r="G93" i="20"/>
  <c r="F93" i="20"/>
  <c r="E93" i="20"/>
  <c r="AH92" i="20"/>
  <c r="AG92" i="20"/>
  <c r="AF92" i="20"/>
  <c r="AE92" i="20"/>
  <c r="AD92" i="20"/>
  <c r="AC92" i="20"/>
  <c r="AB92" i="20"/>
  <c r="AA92" i="20"/>
  <c r="Z92" i="20"/>
  <c r="Y92" i="20"/>
  <c r="W92" i="20"/>
  <c r="V92" i="20"/>
  <c r="U92" i="20"/>
  <c r="T92" i="20"/>
  <c r="S92" i="20"/>
  <c r="R92" i="20"/>
  <c r="Q92" i="20"/>
  <c r="P92" i="20"/>
  <c r="X92" i="20" s="1"/>
  <c r="O92" i="20"/>
  <c r="N92" i="20"/>
  <c r="M92" i="20"/>
  <c r="L92" i="20"/>
  <c r="K92" i="20"/>
  <c r="J92" i="20"/>
  <c r="I92" i="20"/>
  <c r="H92" i="20"/>
  <c r="G92" i="20"/>
  <c r="F92" i="20"/>
  <c r="E92" i="20"/>
  <c r="AH91" i="20"/>
  <c r="AG91" i="20"/>
  <c r="AF91" i="20"/>
  <c r="AE91" i="20"/>
  <c r="AD91" i="20"/>
  <c r="AC91" i="20"/>
  <c r="AB91" i="20"/>
  <c r="AA91" i="20"/>
  <c r="Z91" i="20"/>
  <c r="Y91" i="20"/>
  <c r="W91" i="20"/>
  <c r="V91" i="20"/>
  <c r="U91" i="20"/>
  <c r="T91" i="20"/>
  <c r="S91" i="20"/>
  <c r="R91" i="20"/>
  <c r="Q91" i="20"/>
  <c r="P91" i="20"/>
  <c r="X91" i="20" s="1"/>
  <c r="O91" i="20"/>
  <c r="N91" i="20"/>
  <c r="M91" i="20"/>
  <c r="L91" i="20"/>
  <c r="K91" i="20"/>
  <c r="J91" i="20"/>
  <c r="I91" i="20"/>
  <c r="H91" i="20"/>
  <c r="G91" i="20"/>
  <c r="F91" i="20"/>
  <c r="E91" i="20"/>
  <c r="AH90" i="20"/>
  <c r="AG90" i="20"/>
  <c r="AF90" i="20"/>
  <c r="AE90" i="20"/>
  <c r="AD90" i="20"/>
  <c r="AC90" i="20"/>
  <c r="AB90" i="20"/>
  <c r="AA90" i="20"/>
  <c r="Z90" i="20"/>
  <c r="Y90" i="20"/>
  <c r="W90" i="20"/>
  <c r="V90" i="20"/>
  <c r="U90" i="20"/>
  <c r="T90" i="20"/>
  <c r="S90" i="20"/>
  <c r="R90" i="20"/>
  <c r="Q90" i="20"/>
  <c r="P90" i="20"/>
  <c r="X90" i="20" s="1"/>
  <c r="O90" i="20"/>
  <c r="N90" i="20"/>
  <c r="M90" i="20"/>
  <c r="L90" i="20"/>
  <c r="K90" i="20"/>
  <c r="J90" i="20"/>
  <c r="I90" i="20"/>
  <c r="H90" i="20"/>
  <c r="G90" i="20"/>
  <c r="F90" i="20"/>
  <c r="E90" i="20"/>
  <c r="AH89" i="20"/>
  <c r="AG89" i="20"/>
  <c r="AF89" i="20"/>
  <c r="AE89" i="20"/>
  <c r="AD89" i="20"/>
  <c r="AC89" i="20"/>
  <c r="AB89" i="20"/>
  <c r="AA89" i="20"/>
  <c r="Z89" i="20"/>
  <c r="Y89" i="20"/>
  <c r="W89" i="20"/>
  <c r="V89" i="20"/>
  <c r="U89" i="20"/>
  <c r="T89" i="20"/>
  <c r="S89" i="20"/>
  <c r="R89" i="20"/>
  <c r="Q89" i="20"/>
  <c r="P89" i="20"/>
  <c r="X89" i="20" s="1"/>
  <c r="O89" i="20"/>
  <c r="N89" i="20"/>
  <c r="M89" i="20"/>
  <c r="L89" i="20"/>
  <c r="K89" i="20"/>
  <c r="J89" i="20"/>
  <c r="I89" i="20"/>
  <c r="H89" i="20"/>
  <c r="G89" i="20"/>
  <c r="F89" i="20"/>
  <c r="E89" i="20"/>
  <c r="AH88" i="20"/>
  <c r="AG88" i="20"/>
  <c r="AF88" i="20"/>
  <c r="AE88" i="20"/>
  <c r="AD88" i="20"/>
  <c r="AC88" i="20"/>
  <c r="AB88" i="20"/>
  <c r="AA88" i="20"/>
  <c r="Z88" i="20"/>
  <c r="Y88" i="20"/>
  <c r="W88" i="20"/>
  <c r="V88" i="20"/>
  <c r="U88" i="20"/>
  <c r="T88" i="20"/>
  <c r="S88" i="20"/>
  <c r="R88" i="20"/>
  <c r="Q88" i="20"/>
  <c r="P88" i="20"/>
  <c r="X88" i="20" s="1"/>
  <c r="O88" i="20"/>
  <c r="N88" i="20"/>
  <c r="M88" i="20"/>
  <c r="L88" i="20"/>
  <c r="K88" i="20"/>
  <c r="J88" i="20"/>
  <c r="I88" i="20"/>
  <c r="H88" i="20"/>
  <c r="G88" i="20"/>
  <c r="F88" i="20"/>
  <c r="E88" i="20"/>
  <c r="AI87" i="20"/>
  <c r="AH87" i="20"/>
  <c r="AG87" i="20"/>
  <c r="AF87" i="20"/>
  <c r="AE87" i="20"/>
  <c r="AD87" i="20"/>
  <c r="AC87" i="20"/>
  <c r="AB87" i="20"/>
  <c r="AK87" i="20" s="1"/>
  <c r="AA87" i="20"/>
  <c r="Z87" i="20"/>
  <c r="Y87" i="20"/>
  <c r="W87" i="20"/>
  <c r="V87" i="20"/>
  <c r="U87" i="20"/>
  <c r="T87" i="20"/>
  <c r="S87" i="20"/>
  <c r="R87" i="20"/>
  <c r="Q87" i="20"/>
  <c r="P87" i="20"/>
  <c r="X87" i="20" s="1"/>
  <c r="O87" i="20"/>
  <c r="N87" i="20"/>
  <c r="M87" i="20"/>
  <c r="L87" i="20"/>
  <c r="K87" i="20"/>
  <c r="J87" i="20"/>
  <c r="I87" i="20"/>
  <c r="H87" i="20"/>
  <c r="G87" i="20"/>
  <c r="F87" i="20"/>
  <c r="E87" i="20"/>
  <c r="AH83" i="20"/>
  <c r="AG83" i="20"/>
  <c r="AF83" i="20"/>
  <c r="AE83" i="20"/>
  <c r="AD83" i="20"/>
  <c r="AC83" i="20"/>
  <c r="AB83" i="20"/>
  <c r="AA83" i="20"/>
  <c r="AJ66" i="20" s="1"/>
  <c r="Z83" i="20"/>
  <c r="Y83" i="20"/>
  <c r="W83" i="20"/>
  <c r="V83" i="20"/>
  <c r="U83" i="20"/>
  <c r="T83" i="20"/>
  <c r="S83" i="20"/>
  <c r="R83" i="20"/>
  <c r="Q83" i="20"/>
  <c r="P83" i="20"/>
  <c r="X83" i="20" s="1"/>
  <c r="O83" i="20"/>
  <c r="N83" i="20"/>
  <c r="M83" i="20"/>
  <c r="L83" i="20"/>
  <c r="K83" i="20"/>
  <c r="J83" i="20"/>
  <c r="I83" i="20"/>
  <c r="H83" i="20"/>
  <c r="G83" i="20"/>
  <c r="F83" i="20"/>
  <c r="E83" i="20"/>
  <c r="AH82" i="20"/>
  <c r="AG82" i="20"/>
  <c r="AF82" i="20"/>
  <c r="AE82" i="20"/>
  <c r="AD82" i="20"/>
  <c r="AC82" i="20"/>
  <c r="AB82" i="20"/>
  <c r="AA82" i="20"/>
  <c r="Z82" i="20"/>
  <c r="Y82" i="20"/>
  <c r="W82" i="20"/>
  <c r="V82" i="20"/>
  <c r="U82" i="20"/>
  <c r="T82" i="20"/>
  <c r="S82" i="20"/>
  <c r="R82" i="20"/>
  <c r="Q82" i="20"/>
  <c r="P82" i="20"/>
  <c r="X82" i="20" s="1"/>
  <c r="O82" i="20"/>
  <c r="N82" i="20"/>
  <c r="M82" i="20"/>
  <c r="L82" i="20"/>
  <c r="K82" i="20"/>
  <c r="J82" i="20"/>
  <c r="I82" i="20"/>
  <c r="H82" i="20"/>
  <c r="G82" i="20"/>
  <c r="F82" i="20"/>
  <c r="E82" i="20"/>
  <c r="AH81" i="20"/>
  <c r="AG81" i="20"/>
  <c r="AF81" i="20"/>
  <c r="AE81" i="20"/>
  <c r="AD81" i="20"/>
  <c r="AC81" i="20"/>
  <c r="AB81" i="20"/>
  <c r="AA81" i="20"/>
  <c r="Z81" i="20"/>
  <c r="Y81" i="20"/>
  <c r="W81" i="20"/>
  <c r="V81" i="20"/>
  <c r="U81" i="20"/>
  <c r="T81" i="20"/>
  <c r="S81" i="20"/>
  <c r="R81" i="20"/>
  <c r="Q81" i="20"/>
  <c r="P81" i="20"/>
  <c r="X81" i="20" s="1"/>
  <c r="O81" i="20"/>
  <c r="N81" i="20"/>
  <c r="M81" i="20"/>
  <c r="L81" i="20"/>
  <c r="K81" i="20"/>
  <c r="J81" i="20"/>
  <c r="I81" i="20"/>
  <c r="H81" i="20"/>
  <c r="G81" i="20"/>
  <c r="F81" i="20"/>
  <c r="E81" i="20"/>
  <c r="AH80" i="20"/>
  <c r="AG80" i="20"/>
  <c r="AF80" i="20"/>
  <c r="AE80" i="20"/>
  <c r="AD80" i="20"/>
  <c r="AC80" i="20"/>
  <c r="AB80" i="20"/>
  <c r="AA80" i="20"/>
  <c r="Z80" i="20"/>
  <c r="Y80" i="20"/>
  <c r="W80" i="20"/>
  <c r="V80" i="20"/>
  <c r="U80" i="20"/>
  <c r="T80" i="20"/>
  <c r="S80" i="20"/>
  <c r="R80" i="20"/>
  <c r="Q80" i="20"/>
  <c r="P80" i="20"/>
  <c r="X80" i="20" s="1"/>
  <c r="O80" i="20"/>
  <c r="N80" i="20"/>
  <c r="M80" i="20"/>
  <c r="L80" i="20"/>
  <c r="K80" i="20"/>
  <c r="J80" i="20"/>
  <c r="I80" i="20"/>
  <c r="H80" i="20"/>
  <c r="G80" i="20"/>
  <c r="F80" i="20"/>
  <c r="E80" i="20"/>
  <c r="AH79" i="20"/>
  <c r="AG79" i="20"/>
  <c r="AF79" i="20"/>
  <c r="AE79" i="20"/>
  <c r="AD79" i="20"/>
  <c r="AC79" i="20"/>
  <c r="AB79" i="20"/>
  <c r="AS66" i="20" s="1"/>
  <c r="AA79" i="20"/>
  <c r="Z79" i="20"/>
  <c r="Y79" i="20"/>
  <c r="W79" i="20"/>
  <c r="V79" i="20"/>
  <c r="U79" i="20"/>
  <c r="T79" i="20"/>
  <c r="S79" i="20"/>
  <c r="R79" i="20"/>
  <c r="Q79" i="20"/>
  <c r="P79" i="20"/>
  <c r="X79" i="20" s="1"/>
  <c r="O79" i="20"/>
  <c r="N79" i="20"/>
  <c r="M79" i="20"/>
  <c r="L79" i="20"/>
  <c r="K79" i="20"/>
  <c r="J79" i="20"/>
  <c r="I79" i="20"/>
  <c r="H79" i="20"/>
  <c r="G79" i="20"/>
  <c r="F79" i="20"/>
  <c r="E79" i="20"/>
  <c r="AH78" i="20"/>
  <c r="AG78" i="20"/>
  <c r="AF78" i="20"/>
  <c r="AE78" i="20"/>
  <c r="AD78" i="20"/>
  <c r="AC78" i="20"/>
  <c r="AB78" i="20"/>
  <c r="AA78" i="20"/>
  <c r="Z78" i="20"/>
  <c r="Y78" i="20"/>
  <c r="W78" i="20"/>
  <c r="V78" i="20"/>
  <c r="U78" i="20"/>
  <c r="T78" i="20"/>
  <c r="S78" i="20"/>
  <c r="R78" i="20"/>
  <c r="Q78" i="20"/>
  <c r="P78" i="20"/>
  <c r="X78" i="20" s="1"/>
  <c r="O78" i="20"/>
  <c r="N78" i="20"/>
  <c r="M78" i="20"/>
  <c r="L78" i="20"/>
  <c r="K78" i="20"/>
  <c r="J78" i="20"/>
  <c r="I78" i="20"/>
  <c r="H78" i="20"/>
  <c r="G78" i="20"/>
  <c r="F78" i="20"/>
  <c r="E78" i="20"/>
  <c r="AH77" i="20"/>
  <c r="AG77" i="20"/>
  <c r="AF77" i="20"/>
  <c r="AE77" i="20"/>
  <c r="AD77" i="20"/>
  <c r="AC77" i="20"/>
  <c r="AB77" i="20"/>
  <c r="AA77" i="20"/>
  <c r="Z77" i="20"/>
  <c r="Y77" i="20"/>
  <c r="W77" i="20"/>
  <c r="V77" i="20"/>
  <c r="U77" i="20"/>
  <c r="T77" i="20"/>
  <c r="S77" i="20"/>
  <c r="R77" i="20"/>
  <c r="Q77" i="20"/>
  <c r="P77" i="20"/>
  <c r="X77" i="20" s="1"/>
  <c r="O77" i="20"/>
  <c r="N77" i="20"/>
  <c r="M77" i="20"/>
  <c r="L77" i="20"/>
  <c r="K77" i="20"/>
  <c r="J77" i="20"/>
  <c r="I77" i="20"/>
  <c r="H77" i="20"/>
  <c r="G77" i="20"/>
  <c r="F77" i="20"/>
  <c r="E77" i="20"/>
  <c r="AH76" i="20"/>
  <c r="AG76" i="20"/>
  <c r="AF76" i="20"/>
  <c r="AE76" i="20"/>
  <c r="AD76" i="20"/>
  <c r="AC76" i="20"/>
  <c r="AB76" i="20"/>
  <c r="AA76" i="20"/>
  <c r="Z76" i="20"/>
  <c r="Y76" i="20"/>
  <c r="W76" i="20"/>
  <c r="V76" i="20"/>
  <c r="U76" i="20"/>
  <c r="T76" i="20"/>
  <c r="S76" i="20"/>
  <c r="R76" i="20"/>
  <c r="Q76" i="20"/>
  <c r="P76" i="20"/>
  <c r="X76" i="20" s="1"/>
  <c r="O76" i="20"/>
  <c r="N76" i="20"/>
  <c r="M76" i="20"/>
  <c r="L76" i="20"/>
  <c r="K76" i="20"/>
  <c r="J76" i="20"/>
  <c r="I76" i="20"/>
  <c r="H76" i="20"/>
  <c r="G76" i="20"/>
  <c r="F76" i="20"/>
  <c r="E76" i="20"/>
  <c r="AH75" i="20"/>
  <c r="AG75" i="20"/>
  <c r="AF75" i="20"/>
  <c r="AE75" i="20"/>
  <c r="AD75" i="20"/>
  <c r="AC75" i="20"/>
  <c r="AB75" i="20"/>
  <c r="AA75" i="20"/>
  <c r="Z75" i="20"/>
  <c r="Y75" i="20"/>
  <c r="W75" i="20"/>
  <c r="V75" i="20"/>
  <c r="U75" i="20"/>
  <c r="T75" i="20"/>
  <c r="S75" i="20"/>
  <c r="R75" i="20"/>
  <c r="Q75" i="20"/>
  <c r="P75" i="20"/>
  <c r="X75" i="20" s="1"/>
  <c r="O75" i="20"/>
  <c r="N75" i="20"/>
  <c r="M75" i="20"/>
  <c r="L75" i="20"/>
  <c r="K75" i="20"/>
  <c r="J75" i="20"/>
  <c r="I75" i="20"/>
  <c r="H75" i="20"/>
  <c r="G75" i="20"/>
  <c r="F75" i="20"/>
  <c r="E75" i="20"/>
  <c r="AH74" i="20"/>
  <c r="AG74" i="20"/>
  <c r="AF74" i="20"/>
  <c r="AE74" i="20"/>
  <c r="AD74" i="20"/>
  <c r="AC74" i="20"/>
  <c r="AB74" i="20"/>
  <c r="AA74" i="20"/>
  <c r="Z74" i="20"/>
  <c r="Y74" i="20"/>
  <c r="W74" i="20"/>
  <c r="V74" i="20"/>
  <c r="U74" i="20"/>
  <c r="T74" i="20"/>
  <c r="S74" i="20"/>
  <c r="R74" i="20"/>
  <c r="Q74" i="20"/>
  <c r="P74" i="20"/>
  <c r="X74" i="20" s="1"/>
  <c r="O74" i="20"/>
  <c r="N74" i="20"/>
  <c r="M74" i="20"/>
  <c r="L74" i="20"/>
  <c r="K74" i="20"/>
  <c r="J74" i="20"/>
  <c r="I74" i="20"/>
  <c r="H74" i="20"/>
  <c r="G74" i="20"/>
  <c r="F74" i="20"/>
  <c r="E74" i="20"/>
  <c r="AH73" i="20"/>
  <c r="AG73" i="20"/>
  <c r="AF73" i="20"/>
  <c r="AE73" i="20"/>
  <c r="AD73" i="20"/>
  <c r="AC73" i="20"/>
  <c r="AB73" i="20"/>
  <c r="AA73" i="20"/>
  <c r="Z73" i="20"/>
  <c r="Y73" i="20"/>
  <c r="W73" i="20"/>
  <c r="V73" i="20"/>
  <c r="U73" i="20"/>
  <c r="T73" i="20"/>
  <c r="S73" i="20"/>
  <c r="R73" i="20"/>
  <c r="Q73" i="20"/>
  <c r="P73" i="20"/>
  <c r="X73" i="20" s="1"/>
  <c r="O73" i="20"/>
  <c r="N73" i="20"/>
  <c r="M73" i="20"/>
  <c r="L73" i="20"/>
  <c r="K73" i="20"/>
  <c r="J73" i="20"/>
  <c r="I73" i="20"/>
  <c r="H73" i="20"/>
  <c r="G73" i="20"/>
  <c r="F73" i="20"/>
  <c r="E73" i="20"/>
  <c r="AH72" i="20"/>
  <c r="AG72" i="20"/>
  <c r="AF72" i="20"/>
  <c r="AE72" i="20"/>
  <c r="AD72" i="20"/>
  <c r="AC72" i="20"/>
  <c r="AB72" i="20"/>
  <c r="AA72" i="20"/>
  <c r="Z72" i="20"/>
  <c r="Y72" i="20"/>
  <c r="W72" i="20"/>
  <c r="V72" i="20"/>
  <c r="U72" i="20"/>
  <c r="T72" i="20"/>
  <c r="S72" i="20"/>
  <c r="R72" i="20"/>
  <c r="Q72" i="20"/>
  <c r="P72" i="20"/>
  <c r="X72" i="20" s="1"/>
  <c r="O72" i="20"/>
  <c r="N72" i="20"/>
  <c r="M72" i="20"/>
  <c r="L72" i="20"/>
  <c r="K72" i="20"/>
  <c r="J72" i="20"/>
  <c r="I72" i="20"/>
  <c r="H72" i="20"/>
  <c r="G72" i="20"/>
  <c r="F72" i="20"/>
  <c r="E72" i="20"/>
  <c r="AH71" i="20"/>
  <c r="AG71" i="20"/>
  <c r="AF71" i="20"/>
  <c r="AE71" i="20"/>
  <c r="AD71" i="20"/>
  <c r="AC71" i="20"/>
  <c r="AB71" i="20"/>
  <c r="AA71" i="20"/>
  <c r="Z71" i="20"/>
  <c r="Y71" i="20"/>
  <c r="W71" i="20"/>
  <c r="V71" i="20"/>
  <c r="U71" i="20"/>
  <c r="T71" i="20"/>
  <c r="S71" i="20"/>
  <c r="R71" i="20"/>
  <c r="Q71" i="20"/>
  <c r="P71" i="20"/>
  <c r="X71" i="20" s="1"/>
  <c r="O71" i="20"/>
  <c r="N71" i="20"/>
  <c r="M71" i="20"/>
  <c r="L71" i="20"/>
  <c r="K71" i="20"/>
  <c r="J71" i="20"/>
  <c r="I71" i="20"/>
  <c r="H71" i="20"/>
  <c r="G71" i="20"/>
  <c r="F71" i="20"/>
  <c r="E71" i="20"/>
  <c r="AH70" i="20"/>
  <c r="AG70" i="20"/>
  <c r="AF70" i="20"/>
  <c r="AE70" i="20"/>
  <c r="AD70" i="20"/>
  <c r="AC70" i="20"/>
  <c r="AB70" i="20"/>
  <c r="AA70" i="20"/>
  <c r="Z70" i="20"/>
  <c r="Y70" i="20"/>
  <c r="W70" i="20"/>
  <c r="V70" i="20"/>
  <c r="U70" i="20"/>
  <c r="T70" i="20"/>
  <c r="S70" i="20"/>
  <c r="R70" i="20"/>
  <c r="Q70" i="20"/>
  <c r="P70" i="20"/>
  <c r="X70" i="20" s="1"/>
  <c r="O70" i="20"/>
  <c r="N70" i="20"/>
  <c r="M70" i="20"/>
  <c r="L70" i="20"/>
  <c r="K70" i="20"/>
  <c r="J70" i="20"/>
  <c r="I70" i="20"/>
  <c r="H70" i="20"/>
  <c r="G70" i="20"/>
  <c r="F70" i="20"/>
  <c r="E70" i="20"/>
  <c r="AH69" i="20"/>
  <c r="AG69" i="20"/>
  <c r="AF69" i="20"/>
  <c r="AE69" i="20"/>
  <c r="AD69" i="20"/>
  <c r="AC69" i="20"/>
  <c r="AB69" i="20"/>
  <c r="AA69" i="20"/>
  <c r="Z69" i="20"/>
  <c r="Y69" i="20"/>
  <c r="W69" i="20"/>
  <c r="V69" i="20"/>
  <c r="U69" i="20"/>
  <c r="T69" i="20"/>
  <c r="S69" i="20"/>
  <c r="R69" i="20"/>
  <c r="Q69" i="20"/>
  <c r="P69" i="20"/>
  <c r="X69" i="20" s="1"/>
  <c r="O69" i="20"/>
  <c r="N69" i="20"/>
  <c r="M69" i="20"/>
  <c r="L69" i="20"/>
  <c r="K69" i="20"/>
  <c r="J69" i="20"/>
  <c r="I69" i="20"/>
  <c r="H69" i="20"/>
  <c r="G69" i="20"/>
  <c r="F69" i="20"/>
  <c r="E69" i="20"/>
  <c r="AH68" i="20"/>
  <c r="AG68" i="20"/>
  <c r="AF68" i="20"/>
  <c r="AE68" i="20"/>
  <c r="AD68" i="20"/>
  <c r="AC68" i="20"/>
  <c r="AB68" i="20"/>
  <c r="AA68" i="20"/>
  <c r="Z68" i="20"/>
  <c r="Y68" i="20"/>
  <c r="W68" i="20"/>
  <c r="V68" i="20"/>
  <c r="U68" i="20"/>
  <c r="T68" i="20"/>
  <c r="S68" i="20"/>
  <c r="R68" i="20"/>
  <c r="Q68" i="20"/>
  <c r="P68" i="20"/>
  <c r="X68" i="20" s="1"/>
  <c r="O68" i="20"/>
  <c r="N68" i="20"/>
  <c r="M68" i="20"/>
  <c r="L68" i="20"/>
  <c r="K68" i="20"/>
  <c r="J68" i="20"/>
  <c r="I68" i="20"/>
  <c r="H68" i="20"/>
  <c r="G68" i="20"/>
  <c r="F68" i="20"/>
  <c r="E68" i="20"/>
  <c r="AH67" i="20"/>
  <c r="AG67" i="20"/>
  <c r="AF67" i="20"/>
  <c r="AE67" i="20"/>
  <c r="AD67" i="20"/>
  <c r="AC67" i="20"/>
  <c r="AB67" i="20"/>
  <c r="AA67" i="20"/>
  <c r="Z67" i="20"/>
  <c r="Y67" i="20"/>
  <c r="W67" i="20"/>
  <c r="V67" i="20"/>
  <c r="U67" i="20"/>
  <c r="T67" i="20"/>
  <c r="S67" i="20"/>
  <c r="R67" i="20"/>
  <c r="Q67" i="20"/>
  <c r="P67" i="20"/>
  <c r="X67" i="20" s="1"/>
  <c r="O67" i="20"/>
  <c r="N67" i="20"/>
  <c r="M67" i="20"/>
  <c r="L67" i="20"/>
  <c r="K67" i="20"/>
  <c r="J67" i="20"/>
  <c r="I67" i="20"/>
  <c r="H67" i="20"/>
  <c r="G67" i="20"/>
  <c r="F67" i="20"/>
  <c r="E67" i="20"/>
  <c r="AI66" i="20"/>
  <c r="AH66" i="20"/>
  <c r="AG66" i="20"/>
  <c r="AF66" i="20"/>
  <c r="AE66" i="20"/>
  <c r="AD66" i="20"/>
  <c r="AC66" i="20"/>
  <c r="AB66" i="20"/>
  <c r="AK66" i="20" s="1"/>
  <c r="AA66" i="20"/>
  <c r="Z66" i="20"/>
  <c r="Y66" i="20"/>
  <c r="W66" i="20"/>
  <c r="V66" i="20"/>
  <c r="U66" i="20"/>
  <c r="T66" i="20"/>
  <c r="S66" i="20"/>
  <c r="R66" i="20"/>
  <c r="Q66" i="20"/>
  <c r="P66" i="20"/>
  <c r="X66" i="20" s="1"/>
  <c r="O66" i="20"/>
  <c r="N66" i="20"/>
  <c r="M66" i="20"/>
  <c r="L66" i="20"/>
  <c r="K66" i="20"/>
  <c r="J66" i="20"/>
  <c r="I66" i="20"/>
  <c r="H66" i="20"/>
  <c r="G66" i="20"/>
  <c r="F66" i="20"/>
  <c r="E66" i="20"/>
  <c r="AH62" i="20"/>
  <c r="AG62" i="20"/>
  <c r="AF62" i="20"/>
  <c r="AE62" i="20"/>
  <c r="AD62" i="20"/>
  <c r="AC62" i="20"/>
  <c r="AB62" i="20"/>
  <c r="AS45" i="20" s="1"/>
  <c r="AA62" i="20"/>
  <c r="Z62" i="20"/>
  <c r="Y62" i="20"/>
  <c r="W62" i="20"/>
  <c r="V62" i="20"/>
  <c r="U62" i="20"/>
  <c r="T62" i="20"/>
  <c r="S62" i="20"/>
  <c r="R62" i="20"/>
  <c r="Q62" i="20"/>
  <c r="P62" i="20"/>
  <c r="X62" i="20" s="1"/>
  <c r="O62" i="20"/>
  <c r="N62" i="20"/>
  <c r="M62" i="20"/>
  <c r="L62" i="20"/>
  <c r="K62" i="20"/>
  <c r="J62" i="20"/>
  <c r="I62" i="20"/>
  <c r="H62" i="20"/>
  <c r="G62" i="20"/>
  <c r="F62" i="20"/>
  <c r="E62" i="20"/>
  <c r="AH61" i="20"/>
  <c r="AG61" i="20"/>
  <c r="AF61" i="20"/>
  <c r="AE61" i="20"/>
  <c r="AD61" i="20"/>
  <c r="AC61" i="20"/>
  <c r="AB61" i="20"/>
  <c r="AA61" i="20"/>
  <c r="Z61" i="20"/>
  <c r="Y61" i="20"/>
  <c r="W61" i="20"/>
  <c r="V61" i="20"/>
  <c r="U61" i="20"/>
  <c r="T61" i="20"/>
  <c r="S61" i="20"/>
  <c r="R61" i="20"/>
  <c r="Q61" i="20"/>
  <c r="P61" i="20"/>
  <c r="X61" i="20" s="1"/>
  <c r="O61" i="20"/>
  <c r="N61" i="20"/>
  <c r="M61" i="20"/>
  <c r="L61" i="20"/>
  <c r="K61" i="20"/>
  <c r="J61" i="20"/>
  <c r="I61" i="20"/>
  <c r="H61" i="20"/>
  <c r="G61" i="20"/>
  <c r="F61" i="20"/>
  <c r="E61" i="20"/>
  <c r="AH60" i="20"/>
  <c r="AG60" i="20"/>
  <c r="AF60" i="20"/>
  <c r="AE60" i="20"/>
  <c r="AD60" i="20"/>
  <c r="AC60" i="20"/>
  <c r="AB60" i="20"/>
  <c r="AA60" i="20"/>
  <c r="Z60" i="20"/>
  <c r="Y60" i="20"/>
  <c r="W60" i="20"/>
  <c r="V60" i="20"/>
  <c r="U60" i="20"/>
  <c r="T60" i="20"/>
  <c r="S60" i="20"/>
  <c r="R60" i="20"/>
  <c r="Q60" i="20"/>
  <c r="P60" i="20"/>
  <c r="X60" i="20" s="1"/>
  <c r="O60" i="20"/>
  <c r="N60" i="20"/>
  <c r="M60" i="20"/>
  <c r="L60" i="20"/>
  <c r="K60" i="20"/>
  <c r="J60" i="20"/>
  <c r="I60" i="20"/>
  <c r="H60" i="20"/>
  <c r="G60" i="20"/>
  <c r="F60" i="20"/>
  <c r="E60" i="20"/>
  <c r="AH59" i="20"/>
  <c r="AG59" i="20"/>
  <c r="AF59" i="20"/>
  <c r="AE59" i="20"/>
  <c r="AD59" i="20"/>
  <c r="AC59" i="20"/>
  <c r="AB59" i="20"/>
  <c r="AA59" i="20"/>
  <c r="Z59" i="20"/>
  <c r="Y59" i="20"/>
  <c r="W59" i="20"/>
  <c r="V59" i="20"/>
  <c r="U59" i="20"/>
  <c r="T59" i="20"/>
  <c r="S59" i="20"/>
  <c r="R59" i="20"/>
  <c r="Q59" i="20"/>
  <c r="P59" i="20"/>
  <c r="X59" i="20" s="1"/>
  <c r="O59" i="20"/>
  <c r="N59" i="20"/>
  <c r="M59" i="20"/>
  <c r="L59" i="20"/>
  <c r="K59" i="20"/>
  <c r="J59" i="20"/>
  <c r="I59" i="20"/>
  <c r="H59" i="20"/>
  <c r="G59" i="20"/>
  <c r="F59" i="20"/>
  <c r="E59" i="20"/>
  <c r="AH58" i="20"/>
  <c r="AG58" i="20"/>
  <c r="AF58" i="20"/>
  <c r="AE58" i="20"/>
  <c r="AD58" i="20"/>
  <c r="AC58" i="20"/>
  <c r="AB58" i="20"/>
  <c r="AA58" i="20"/>
  <c r="Z58" i="20"/>
  <c r="Y58" i="20"/>
  <c r="W58" i="20"/>
  <c r="V58" i="20"/>
  <c r="U58" i="20"/>
  <c r="T58" i="20"/>
  <c r="S58" i="20"/>
  <c r="R58" i="20"/>
  <c r="Q58" i="20"/>
  <c r="P58" i="20"/>
  <c r="X58" i="20" s="1"/>
  <c r="O58" i="20"/>
  <c r="N58" i="20"/>
  <c r="M58" i="20"/>
  <c r="L58" i="20"/>
  <c r="K58" i="20"/>
  <c r="J58" i="20"/>
  <c r="I58" i="20"/>
  <c r="H58" i="20"/>
  <c r="G58" i="20"/>
  <c r="F58" i="20"/>
  <c r="E58" i="20"/>
  <c r="AH57" i="20"/>
  <c r="AG57" i="20"/>
  <c r="AF57" i="20"/>
  <c r="AE57" i="20"/>
  <c r="AD57" i="20"/>
  <c r="AC57" i="20"/>
  <c r="AB57" i="20"/>
  <c r="AA57" i="20"/>
  <c r="Z57" i="20"/>
  <c r="Y57" i="20"/>
  <c r="W57" i="20"/>
  <c r="V57" i="20"/>
  <c r="U57" i="20"/>
  <c r="T57" i="20"/>
  <c r="S57" i="20"/>
  <c r="R57" i="20"/>
  <c r="Q57" i="20"/>
  <c r="P57" i="20"/>
  <c r="X57" i="20" s="1"/>
  <c r="O57" i="20"/>
  <c r="N57" i="20"/>
  <c r="M57" i="20"/>
  <c r="L57" i="20"/>
  <c r="K57" i="20"/>
  <c r="J57" i="20"/>
  <c r="I57" i="20"/>
  <c r="H57" i="20"/>
  <c r="G57" i="20"/>
  <c r="F57" i="20"/>
  <c r="E57" i="20"/>
  <c r="AH56" i="20"/>
  <c r="AG56" i="20"/>
  <c r="AF56" i="20"/>
  <c r="AE56" i="20"/>
  <c r="AD56" i="20"/>
  <c r="AC56" i="20"/>
  <c r="AB56" i="20"/>
  <c r="AA56" i="20"/>
  <c r="Z56" i="20"/>
  <c r="Y56" i="20"/>
  <c r="W56" i="20"/>
  <c r="V56" i="20"/>
  <c r="U56" i="20"/>
  <c r="T56" i="20"/>
  <c r="S56" i="20"/>
  <c r="R56" i="20"/>
  <c r="Q56" i="20"/>
  <c r="P56" i="20"/>
  <c r="X56" i="20" s="1"/>
  <c r="O56" i="20"/>
  <c r="N56" i="20"/>
  <c r="M56" i="20"/>
  <c r="L56" i="20"/>
  <c r="K56" i="20"/>
  <c r="J56" i="20"/>
  <c r="I56" i="20"/>
  <c r="H56" i="20"/>
  <c r="G56" i="20"/>
  <c r="F56" i="20"/>
  <c r="E56" i="20"/>
  <c r="AH55" i="20"/>
  <c r="AG55" i="20"/>
  <c r="AF55" i="20"/>
  <c r="AE55" i="20"/>
  <c r="AD55" i="20"/>
  <c r="AC55" i="20"/>
  <c r="AB55" i="20"/>
  <c r="AA55" i="20"/>
  <c r="Z55" i="20"/>
  <c r="Y55" i="20"/>
  <c r="W55" i="20"/>
  <c r="V55" i="20"/>
  <c r="U55" i="20"/>
  <c r="T55" i="20"/>
  <c r="S55" i="20"/>
  <c r="R55" i="20"/>
  <c r="Q55" i="20"/>
  <c r="P55" i="20"/>
  <c r="X55" i="20" s="1"/>
  <c r="O55" i="20"/>
  <c r="N55" i="20"/>
  <c r="M55" i="20"/>
  <c r="L55" i="20"/>
  <c r="K55" i="20"/>
  <c r="J55" i="20"/>
  <c r="I55" i="20"/>
  <c r="H55" i="20"/>
  <c r="G55" i="20"/>
  <c r="F55" i="20"/>
  <c r="E55" i="20"/>
  <c r="AH54" i="20"/>
  <c r="AG54" i="20"/>
  <c r="AF54" i="20"/>
  <c r="AE54" i="20"/>
  <c r="AD54" i="20"/>
  <c r="AC54" i="20"/>
  <c r="AB54" i="20"/>
  <c r="AA54" i="20"/>
  <c r="Z54" i="20"/>
  <c r="Y54" i="20"/>
  <c r="W54" i="20"/>
  <c r="V54" i="20"/>
  <c r="U54" i="20"/>
  <c r="T54" i="20"/>
  <c r="S54" i="20"/>
  <c r="R54" i="20"/>
  <c r="Q54" i="20"/>
  <c r="P54" i="20"/>
  <c r="X54" i="20" s="1"/>
  <c r="O54" i="20"/>
  <c r="N54" i="20"/>
  <c r="M54" i="20"/>
  <c r="L54" i="20"/>
  <c r="K54" i="20"/>
  <c r="J54" i="20"/>
  <c r="I54" i="20"/>
  <c r="H54" i="20"/>
  <c r="G54" i="20"/>
  <c r="F54" i="20"/>
  <c r="E54" i="20"/>
  <c r="AH53" i="20"/>
  <c r="AG53" i="20"/>
  <c r="AF53" i="20"/>
  <c r="AE53" i="20"/>
  <c r="AD53" i="20"/>
  <c r="AC53" i="20"/>
  <c r="AB53" i="20"/>
  <c r="AA53" i="20"/>
  <c r="Z53" i="20"/>
  <c r="Y53" i="20"/>
  <c r="W53" i="20"/>
  <c r="V53" i="20"/>
  <c r="U53" i="20"/>
  <c r="T53" i="20"/>
  <c r="S53" i="20"/>
  <c r="R53" i="20"/>
  <c r="Q53" i="20"/>
  <c r="P53" i="20"/>
  <c r="X53" i="20" s="1"/>
  <c r="O53" i="20"/>
  <c r="N53" i="20"/>
  <c r="M53" i="20"/>
  <c r="L53" i="20"/>
  <c r="K53" i="20"/>
  <c r="J53" i="20"/>
  <c r="I53" i="20"/>
  <c r="H53" i="20"/>
  <c r="G53" i="20"/>
  <c r="F53" i="20"/>
  <c r="E53" i="20"/>
  <c r="AH52" i="20"/>
  <c r="AG52" i="20"/>
  <c r="AF52" i="20"/>
  <c r="AE52" i="20"/>
  <c r="AD52" i="20"/>
  <c r="AC52" i="20"/>
  <c r="AB52" i="20"/>
  <c r="AA52" i="20"/>
  <c r="Z52" i="20"/>
  <c r="Y52" i="20"/>
  <c r="W52" i="20"/>
  <c r="V52" i="20"/>
  <c r="U52" i="20"/>
  <c r="T52" i="20"/>
  <c r="S52" i="20"/>
  <c r="R52" i="20"/>
  <c r="Q52" i="20"/>
  <c r="P52" i="20"/>
  <c r="X52" i="20" s="1"/>
  <c r="O52" i="20"/>
  <c r="N52" i="20"/>
  <c r="M52" i="20"/>
  <c r="L52" i="20"/>
  <c r="K52" i="20"/>
  <c r="J52" i="20"/>
  <c r="I52" i="20"/>
  <c r="H52" i="20"/>
  <c r="G52" i="20"/>
  <c r="F52" i="20"/>
  <c r="E52" i="20"/>
  <c r="AH51" i="20"/>
  <c r="AG51" i="20"/>
  <c r="AF51" i="20"/>
  <c r="AE51" i="20"/>
  <c r="AD51" i="20"/>
  <c r="AC51" i="20"/>
  <c r="AB51" i="20"/>
  <c r="AA51" i="20"/>
  <c r="Z51" i="20"/>
  <c r="Y51" i="20"/>
  <c r="W51" i="20"/>
  <c r="V51" i="20"/>
  <c r="U51" i="20"/>
  <c r="T51" i="20"/>
  <c r="S51" i="20"/>
  <c r="R51" i="20"/>
  <c r="Q51" i="20"/>
  <c r="P51" i="20"/>
  <c r="X51" i="20" s="1"/>
  <c r="O51" i="20"/>
  <c r="N51" i="20"/>
  <c r="M51" i="20"/>
  <c r="L51" i="20"/>
  <c r="K51" i="20"/>
  <c r="J51" i="20"/>
  <c r="I51" i="20"/>
  <c r="H51" i="20"/>
  <c r="G51" i="20"/>
  <c r="F51" i="20"/>
  <c r="E51" i="20"/>
  <c r="AH50" i="20"/>
  <c r="AG50" i="20"/>
  <c r="AF50" i="20"/>
  <c r="AE50" i="20"/>
  <c r="AD50" i="20"/>
  <c r="AC50" i="20"/>
  <c r="AB50" i="20"/>
  <c r="AA50" i="20"/>
  <c r="Z50" i="20"/>
  <c r="Y50" i="20"/>
  <c r="W50" i="20"/>
  <c r="V50" i="20"/>
  <c r="U50" i="20"/>
  <c r="T50" i="20"/>
  <c r="S50" i="20"/>
  <c r="R50" i="20"/>
  <c r="Q50" i="20"/>
  <c r="P50" i="20"/>
  <c r="X50" i="20" s="1"/>
  <c r="O50" i="20"/>
  <c r="N50" i="20"/>
  <c r="M50" i="20"/>
  <c r="L50" i="20"/>
  <c r="K50" i="20"/>
  <c r="J50" i="20"/>
  <c r="I50" i="20"/>
  <c r="H50" i="20"/>
  <c r="G50" i="20"/>
  <c r="F50" i="20"/>
  <c r="E50" i="20"/>
  <c r="AH49" i="20"/>
  <c r="AG49" i="20"/>
  <c r="AF49" i="20"/>
  <c r="AE49" i="20"/>
  <c r="AD49" i="20"/>
  <c r="AC49" i="20"/>
  <c r="AB49" i="20"/>
  <c r="AA49" i="20"/>
  <c r="Z49" i="20"/>
  <c r="Y49" i="20"/>
  <c r="W49" i="20"/>
  <c r="V49" i="20"/>
  <c r="U49" i="20"/>
  <c r="T49" i="20"/>
  <c r="S49" i="20"/>
  <c r="R49" i="20"/>
  <c r="Q49" i="20"/>
  <c r="P49" i="20"/>
  <c r="X49" i="20" s="1"/>
  <c r="O49" i="20"/>
  <c r="N49" i="20"/>
  <c r="M49" i="20"/>
  <c r="L49" i="20"/>
  <c r="K49" i="20"/>
  <c r="J49" i="20"/>
  <c r="I49" i="20"/>
  <c r="H49" i="20"/>
  <c r="G49" i="20"/>
  <c r="F49" i="20"/>
  <c r="E49" i="20"/>
  <c r="AH48" i="20"/>
  <c r="AG48" i="20"/>
  <c r="AF48" i="20"/>
  <c r="AE48" i="20"/>
  <c r="AD48" i="20"/>
  <c r="AC48" i="20"/>
  <c r="AB48" i="20"/>
  <c r="AA48" i="20"/>
  <c r="Z48" i="20"/>
  <c r="Y48" i="20"/>
  <c r="W48" i="20"/>
  <c r="V48" i="20"/>
  <c r="U48" i="20"/>
  <c r="T48" i="20"/>
  <c r="S48" i="20"/>
  <c r="R48" i="20"/>
  <c r="Q48" i="20"/>
  <c r="P48" i="20"/>
  <c r="X48" i="20" s="1"/>
  <c r="O48" i="20"/>
  <c r="N48" i="20"/>
  <c r="M48" i="20"/>
  <c r="L48" i="20"/>
  <c r="K48" i="20"/>
  <c r="J48" i="20"/>
  <c r="I48" i="20"/>
  <c r="H48" i="20"/>
  <c r="G48" i="20"/>
  <c r="F48" i="20"/>
  <c r="E48" i="20"/>
  <c r="AH47" i="20"/>
  <c r="AG47" i="20"/>
  <c r="AF47" i="20"/>
  <c r="AE47" i="20"/>
  <c r="AD47" i="20"/>
  <c r="AC47" i="20"/>
  <c r="AB47" i="20"/>
  <c r="AA47" i="20"/>
  <c r="Z47" i="20"/>
  <c r="Y47" i="20"/>
  <c r="W47" i="20"/>
  <c r="V47" i="20"/>
  <c r="U47" i="20"/>
  <c r="T47" i="20"/>
  <c r="S47" i="20"/>
  <c r="R47" i="20"/>
  <c r="Q47" i="20"/>
  <c r="P47" i="20"/>
  <c r="X47" i="20" s="1"/>
  <c r="O47" i="20"/>
  <c r="N47" i="20"/>
  <c r="M47" i="20"/>
  <c r="L47" i="20"/>
  <c r="K47" i="20"/>
  <c r="J47" i="20"/>
  <c r="I47" i="20"/>
  <c r="H47" i="20"/>
  <c r="G47" i="20"/>
  <c r="F47" i="20"/>
  <c r="E47" i="20"/>
  <c r="AH46" i="20"/>
  <c r="AG46" i="20"/>
  <c r="AF46" i="20"/>
  <c r="AE46" i="20"/>
  <c r="AD46" i="20"/>
  <c r="AC46" i="20"/>
  <c r="AB46" i="20"/>
  <c r="AA46" i="20"/>
  <c r="Z46" i="20"/>
  <c r="Y46" i="20"/>
  <c r="W46" i="20"/>
  <c r="V46" i="20"/>
  <c r="U46" i="20"/>
  <c r="T46" i="20"/>
  <c r="S46" i="20"/>
  <c r="R46" i="20"/>
  <c r="Q46" i="20"/>
  <c r="P46" i="20"/>
  <c r="X46" i="20" s="1"/>
  <c r="O46" i="20"/>
  <c r="N46" i="20"/>
  <c r="M46" i="20"/>
  <c r="L46" i="20"/>
  <c r="K46" i="20"/>
  <c r="J46" i="20"/>
  <c r="I46" i="20"/>
  <c r="H46" i="20"/>
  <c r="G46" i="20"/>
  <c r="F46" i="20"/>
  <c r="E46" i="20"/>
  <c r="AI45" i="20"/>
  <c r="AH45" i="20"/>
  <c r="AG45" i="20"/>
  <c r="AF45" i="20"/>
  <c r="AE45" i="20"/>
  <c r="AD45" i="20"/>
  <c r="AC45" i="20"/>
  <c r="AB45" i="20"/>
  <c r="AA45" i="20"/>
  <c r="Z45" i="20"/>
  <c r="Y45" i="20"/>
  <c r="W45" i="20"/>
  <c r="V45" i="20"/>
  <c r="U45" i="20"/>
  <c r="T45" i="20"/>
  <c r="S45" i="20"/>
  <c r="R45" i="20"/>
  <c r="Q45" i="20"/>
  <c r="P45" i="20"/>
  <c r="X45" i="20" s="1"/>
  <c r="O45" i="20"/>
  <c r="N45" i="20"/>
  <c r="M45" i="20"/>
  <c r="L45" i="20"/>
  <c r="K45" i="20"/>
  <c r="J45" i="20"/>
  <c r="I45" i="20"/>
  <c r="H45" i="20"/>
  <c r="G45" i="20"/>
  <c r="F45" i="20"/>
  <c r="E45" i="20"/>
  <c r="AH41" i="20"/>
  <c r="AG41" i="20"/>
  <c r="AF41" i="20"/>
  <c r="AE41" i="20"/>
  <c r="AD41" i="20"/>
  <c r="AC41" i="20"/>
  <c r="AB41" i="20"/>
  <c r="AA41" i="20"/>
  <c r="AJ24" i="20" s="1"/>
  <c r="Z41" i="20"/>
  <c r="Y41" i="20"/>
  <c r="W41" i="20"/>
  <c r="V41" i="20"/>
  <c r="U41" i="20"/>
  <c r="T41" i="20"/>
  <c r="S41" i="20"/>
  <c r="R41" i="20"/>
  <c r="Q41" i="20"/>
  <c r="P41" i="20"/>
  <c r="X41" i="20" s="1"/>
  <c r="O41" i="20"/>
  <c r="N41" i="20"/>
  <c r="M41" i="20"/>
  <c r="L41" i="20"/>
  <c r="K41" i="20"/>
  <c r="J41" i="20"/>
  <c r="I41" i="20"/>
  <c r="H41" i="20"/>
  <c r="G41" i="20"/>
  <c r="F41" i="20"/>
  <c r="E41" i="20"/>
  <c r="AH40" i="20"/>
  <c r="AG40" i="20"/>
  <c r="AF40" i="20"/>
  <c r="AE40" i="20"/>
  <c r="AD40" i="20"/>
  <c r="AC40" i="20"/>
  <c r="AB40" i="20"/>
  <c r="AA40" i="20"/>
  <c r="Z40" i="20"/>
  <c r="Y40" i="20"/>
  <c r="W40" i="20"/>
  <c r="V40" i="20"/>
  <c r="U40" i="20"/>
  <c r="T40" i="20"/>
  <c r="S40" i="20"/>
  <c r="R40" i="20"/>
  <c r="Q40" i="20"/>
  <c r="P40" i="20"/>
  <c r="X40" i="20" s="1"/>
  <c r="O40" i="20"/>
  <c r="N40" i="20"/>
  <c r="M40" i="20"/>
  <c r="L40" i="20"/>
  <c r="K40" i="20"/>
  <c r="J40" i="20"/>
  <c r="I40" i="20"/>
  <c r="H40" i="20"/>
  <c r="G40" i="20"/>
  <c r="F40" i="20"/>
  <c r="E40" i="20"/>
  <c r="AH39" i="20"/>
  <c r="AG39" i="20"/>
  <c r="AF39" i="20"/>
  <c r="AE39" i="20"/>
  <c r="AD39" i="20"/>
  <c r="AC39" i="20"/>
  <c r="AB39" i="20"/>
  <c r="AA39" i="20"/>
  <c r="Z39" i="20"/>
  <c r="Y39" i="20"/>
  <c r="W39" i="20"/>
  <c r="V39" i="20"/>
  <c r="U39" i="20"/>
  <c r="T39" i="20"/>
  <c r="S39" i="20"/>
  <c r="R39" i="20"/>
  <c r="Q39" i="20"/>
  <c r="P39" i="20"/>
  <c r="X39" i="20" s="1"/>
  <c r="O39" i="20"/>
  <c r="N39" i="20"/>
  <c r="M39" i="20"/>
  <c r="L39" i="20"/>
  <c r="K39" i="20"/>
  <c r="J39" i="20"/>
  <c r="I39" i="20"/>
  <c r="H39" i="20"/>
  <c r="G39" i="20"/>
  <c r="F39" i="20"/>
  <c r="E39" i="20"/>
  <c r="AH38" i="20"/>
  <c r="AG38" i="20"/>
  <c r="AF38" i="20"/>
  <c r="AE38" i="20"/>
  <c r="AD38" i="20"/>
  <c r="AC38" i="20"/>
  <c r="AB38" i="20"/>
  <c r="AA38" i="20"/>
  <c r="Z38" i="20"/>
  <c r="Y38" i="20"/>
  <c r="W38" i="20"/>
  <c r="V38" i="20"/>
  <c r="U38" i="20"/>
  <c r="T38" i="20"/>
  <c r="S38" i="20"/>
  <c r="R38" i="20"/>
  <c r="Q38" i="20"/>
  <c r="P38" i="20"/>
  <c r="X38" i="20" s="1"/>
  <c r="O38" i="20"/>
  <c r="N38" i="20"/>
  <c r="M38" i="20"/>
  <c r="L38" i="20"/>
  <c r="K38" i="20"/>
  <c r="J38" i="20"/>
  <c r="I38" i="20"/>
  <c r="H38" i="20"/>
  <c r="G38" i="20"/>
  <c r="F38" i="20"/>
  <c r="E38" i="20"/>
  <c r="AH37" i="20"/>
  <c r="AG37" i="20"/>
  <c r="AF37" i="20"/>
  <c r="AE37" i="20"/>
  <c r="AD37" i="20"/>
  <c r="AC37" i="20"/>
  <c r="AB37" i="20"/>
  <c r="AA37" i="20"/>
  <c r="Z37" i="20"/>
  <c r="Y37" i="20"/>
  <c r="W37" i="20"/>
  <c r="V37" i="20"/>
  <c r="U37" i="20"/>
  <c r="T37" i="20"/>
  <c r="S37" i="20"/>
  <c r="R37" i="20"/>
  <c r="Q37" i="20"/>
  <c r="P37" i="20"/>
  <c r="X37" i="20" s="1"/>
  <c r="O37" i="20"/>
  <c r="N37" i="20"/>
  <c r="M37" i="20"/>
  <c r="L37" i="20"/>
  <c r="K37" i="20"/>
  <c r="J37" i="20"/>
  <c r="I37" i="20"/>
  <c r="H37" i="20"/>
  <c r="G37" i="20"/>
  <c r="F37" i="20"/>
  <c r="E37" i="20"/>
  <c r="AH36" i="20"/>
  <c r="AG36" i="20"/>
  <c r="AF36" i="20"/>
  <c r="AE36" i="20"/>
  <c r="AD36" i="20"/>
  <c r="AC36" i="20"/>
  <c r="AB36" i="20"/>
  <c r="AA36" i="20"/>
  <c r="Z36" i="20"/>
  <c r="Y36" i="20"/>
  <c r="W36" i="20"/>
  <c r="V36" i="20"/>
  <c r="U36" i="20"/>
  <c r="T36" i="20"/>
  <c r="S36" i="20"/>
  <c r="R36" i="20"/>
  <c r="Q36" i="20"/>
  <c r="P36" i="20"/>
  <c r="X36" i="20" s="1"/>
  <c r="O36" i="20"/>
  <c r="N36" i="20"/>
  <c r="M36" i="20"/>
  <c r="L36" i="20"/>
  <c r="K36" i="20"/>
  <c r="J36" i="20"/>
  <c r="I36" i="20"/>
  <c r="H36" i="20"/>
  <c r="G36" i="20"/>
  <c r="F36" i="20"/>
  <c r="E36" i="20"/>
  <c r="AH35" i="20"/>
  <c r="AG35" i="20"/>
  <c r="AF35" i="20"/>
  <c r="AE35" i="20"/>
  <c r="AD35" i="20"/>
  <c r="AC35" i="20"/>
  <c r="AB35" i="20"/>
  <c r="AA35" i="20"/>
  <c r="Z35" i="20"/>
  <c r="Y35" i="20"/>
  <c r="W35" i="20"/>
  <c r="V35" i="20"/>
  <c r="U35" i="20"/>
  <c r="T35" i="20"/>
  <c r="S35" i="20"/>
  <c r="R35" i="20"/>
  <c r="Q35" i="20"/>
  <c r="P35" i="20"/>
  <c r="X35" i="20" s="1"/>
  <c r="O35" i="20"/>
  <c r="N35" i="20"/>
  <c r="M35" i="20"/>
  <c r="L35" i="20"/>
  <c r="K35" i="20"/>
  <c r="J35" i="20"/>
  <c r="I35" i="20"/>
  <c r="H35" i="20"/>
  <c r="G35" i="20"/>
  <c r="F35" i="20"/>
  <c r="E35" i="20"/>
  <c r="AH34" i="20"/>
  <c r="AG34" i="20"/>
  <c r="AF34" i="20"/>
  <c r="AE34" i="20"/>
  <c r="AD34" i="20"/>
  <c r="AC34" i="20"/>
  <c r="AB34" i="20"/>
  <c r="AA34" i="20"/>
  <c r="Z34" i="20"/>
  <c r="Y34" i="20"/>
  <c r="W34" i="20"/>
  <c r="V34" i="20"/>
  <c r="U34" i="20"/>
  <c r="T34" i="20"/>
  <c r="S34" i="20"/>
  <c r="R34" i="20"/>
  <c r="Q34" i="20"/>
  <c r="P34" i="20"/>
  <c r="X34" i="20" s="1"/>
  <c r="O34" i="20"/>
  <c r="N34" i="20"/>
  <c r="M34" i="20"/>
  <c r="L34" i="20"/>
  <c r="K34" i="20"/>
  <c r="J34" i="20"/>
  <c r="I34" i="20"/>
  <c r="H34" i="20"/>
  <c r="G34" i="20"/>
  <c r="F34" i="20"/>
  <c r="E34" i="20"/>
  <c r="AH33" i="20"/>
  <c r="AG33" i="20"/>
  <c r="AF33" i="20"/>
  <c r="AE33" i="20"/>
  <c r="AD33" i="20"/>
  <c r="AC33" i="20"/>
  <c r="AB33" i="20"/>
  <c r="AA33" i="20"/>
  <c r="Z33" i="20"/>
  <c r="Y33" i="20"/>
  <c r="W33" i="20"/>
  <c r="V33" i="20"/>
  <c r="U33" i="20"/>
  <c r="T33" i="20"/>
  <c r="S33" i="20"/>
  <c r="R33" i="20"/>
  <c r="Q33" i="20"/>
  <c r="P33" i="20"/>
  <c r="X33" i="20" s="1"/>
  <c r="O33" i="20"/>
  <c r="N33" i="20"/>
  <c r="M33" i="20"/>
  <c r="L33" i="20"/>
  <c r="K33" i="20"/>
  <c r="J33" i="20"/>
  <c r="I33" i="20"/>
  <c r="H33" i="20"/>
  <c r="G33" i="20"/>
  <c r="F33" i="20"/>
  <c r="E33" i="20"/>
  <c r="AH32" i="20"/>
  <c r="AG32" i="20"/>
  <c r="AF32" i="20"/>
  <c r="AE32" i="20"/>
  <c r="AD32" i="20"/>
  <c r="AC32" i="20"/>
  <c r="AB32" i="20"/>
  <c r="AA32" i="20"/>
  <c r="Z32" i="20"/>
  <c r="Y32" i="20"/>
  <c r="W32" i="20"/>
  <c r="V32" i="20"/>
  <c r="U32" i="20"/>
  <c r="T32" i="20"/>
  <c r="S32" i="20"/>
  <c r="R32" i="20"/>
  <c r="Q32" i="20"/>
  <c r="P32" i="20"/>
  <c r="X32" i="20" s="1"/>
  <c r="O32" i="20"/>
  <c r="N32" i="20"/>
  <c r="M32" i="20"/>
  <c r="L32" i="20"/>
  <c r="K32" i="20"/>
  <c r="J32" i="20"/>
  <c r="I32" i="20"/>
  <c r="H32" i="20"/>
  <c r="G32" i="20"/>
  <c r="F32" i="20"/>
  <c r="E32" i="20"/>
  <c r="AH31" i="20"/>
  <c r="AG31" i="20"/>
  <c r="AF31" i="20"/>
  <c r="AE31" i="20"/>
  <c r="AD31" i="20"/>
  <c r="AC31" i="20"/>
  <c r="AB31" i="20"/>
  <c r="AA31" i="20"/>
  <c r="Z31" i="20"/>
  <c r="Y31" i="20"/>
  <c r="W31" i="20"/>
  <c r="V31" i="20"/>
  <c r="U31" i="20"/>
  <c r="T31" i="20"/>
  <c r="S31" i="20"/>
  <c r="R31" i="20"/>
  <c r="Q31" i="20"/>
  <c r="P31" i="20"/>
  <c r="X31" i="20" s="1"/>
  <c r="O31" i="20"/>
  <c r="N31" i="20"/>
  <c r="M31" i="20"/>
  <c r="L31" i="20"/>
  <c r="K31" i="20"/>
  <c r="J31" i="20"/>
  <c r="I31" i="20"/>
  <c r="H31" i="20"/>
  <c r="G31" i="20"/>
  <c r="F31" i="20"/>
  <c r="E31" i="20"/>
  <c r="AH30" i="20"/>
  <c r="AG30" i="20"/>
  <c r="AF30" i="20"/>
  <c r="AE30" i="20"/>
  <c r="AD30" i="20"/>
  <c r="AC30" i="20"/>
  <c r="AB30" i="20"/>
  <c r="AA30" i="20"/>
  <c r="Z30" i="20"/>
  <c r="AQ24" i="20" s="1"/>
  <c r="Y30" i="20"/>
  <c r="W30" i="20"/>
  <c r="V30" i="20"/>
  <c r="U30" i="20"/>
  <c r="T30" i="20"/>
  <c r="S30" i="20"/>
  <c r="R30" i="20"/>
  <c r="Q30" i="20"/>
  <c r="P30" i="20"/>
  <c r="X30" i="20" s="1"/>
  <c r="O30" i="20"/>
  <c r="N30" i="20"/>
  <c r="M30" i="20"/>
  <c r="L30" i="20"/>
  <c r="K30" i="20"/>
  <c r="J30" i="20"/>
  <c r="I30" i="20"/>
  <c r="H30" i="20"/>
  <c r="G30" i="20"/>
  <c r="F30" i="20"/>
  <c r="E30" i="20"/>
  <c r="AH29" i="20"/>
  <c r="AG29" i="20"/>
  <c r="AF29" i="20"/>
  <c r="AE29" i="20"/>
  <c r="AD29" i="20"/>
  <c r="AC29" i="20"/>
  <c r="AB29" i="20"/>
  <c r="AA29" i="20"/>
  <c r="Z29" i="20"/>
  <c r="Y29" i="20"/>
  <c r="W29" i="20"/>
  <c r="V29" i="20"/>
  <c r="U29" i="20"/>
  <c r="T29" i="20"/>
  <c r="S29" i="20"/>
  <c r="R29" i="20"/>
  <c r="Q29" i="20"/>
  <c r="P29" i="20"/>
  <c r="X29" i="20" s="1"/>
  <c r="O29" i="20"/>
  <c r="N29" i="20"/>
  <c r="M29" i="20"/>
  <c r="L29" i="20"/>
  <c r="K29" i="20"/>
  <c r="J29" i="20"/>
  <c r="I29" i="20"/>
  <c r="H29" i="20"/>
  <c r="G29" i="20"/>
  <c r="F29" i="20"/>
  <c r="E29" i="20"/>
  <c r="AH28" i="20"/>
  <c r="AG28" i="20"/>
  <c r="AF28" i="20"/>
  <c r="AE28" i="20"/>
  <c r="AD28" i="20"/>
  <c r="AC28" i="20"/>
  <c r="AB28" i="20"/>
  <c r="AA28" i="20"/>
  <c r="Z28" i="20"/>
  <c r="Y28" i="20"/>
  <c r="W28" i="20"/>
  <c r="V28" i="20"/>
  <c r="U28" i="20"/>
  <c r="T28" i="20"/>
  <c r="S28" i="20"/>
  <c r="R28" i="20"/>
  <c r="Q28" i="20"/>
  <c r="P28" i="20"/>
  <c r="X28" i="20" s="1"/>
  <c r="O28" i="20"/>
  <c r="N28" i="20"/>
  <c r="M28" i="20"/>
  <c r="L28" i="20"/>
  <c r="K28" i="20"/>
  <c r="J28" i="20"/>
  <c r="I28" i="20"/>
  <c r="H28" i="20"/>
  <c r="G28" i="20"/>
  <c r="F28" i="20"/>
  <c r="E28" i="20"/>
  <c r="AH27" i="20"/>
  <c r="AG27" i="20"/>
  <c r="AF27" i="20"/>
  <c r="AE27" i="20"/>
  <c r="AD27" i="20"/>
  <c r="AC27" i="20"/>
  <c r="AB27" i="20"/>
  <c r="AA27" i="20"/>
  <c r="Z27" i="20"/>
  <c r="Y27" i="20"/>
  <c r="W27" i="20"/>
  <c r="V27" i="20"/>
  <c r="U27" i="20"/>
  <c r="T27" i="20"/>
  <c r="S27" i="20"/>
  <c r="R27" i="20"/>
  <c r="Q27" i="20"/>
  <c r="P27" i="20"/>
  <c r="X27" i="20" s="1"/>
  <c r="O27" i="20"/>
  <c r="N27" i="20"/>
  <c r="M27" i="20"/>
  <c r="L27" i="20"/>
  <c r="K27" i="20"/>
  <c r="J27" i="20"/>
  <c r="I27" i="20"/>
  <c r="H27" i="20"/>
  <c r="G27" i="20"/>
  <c r="F27" i="20"/>
  <c r="E27" i="20"/>
  <c r="AH26" i="20"/>
  <c r="AG26" i="20"/>
  <c r="AF26" i="20"/>
  <c r="AE26" i="20"/>
  <c r="AD26" i="20"/>
  <c r="AC26" i="20"/>
  <c r="AB26" i="20"/>
  <c r="AA26" i="20"/>
  <c r="Z26" i="20"/>
  <c r="Y26" i="20"/>
  <c r="W26" i="20"/>
  <c r="V26" i="20"/>
  <c r="U26" i="20"/>
  <c r="T26" i="20"/>
  <c r="S26" i="20"/>
  <c r="R26" i="20"/>
  <c r="Q26" i="20"/>
  <c r="P26" i="20"/>
  <c r="X26" i="20" s="1"/>
  <c r="O26" i="20"/>
  <c r="N26" i="20"/>
  <c r="M26" i="20"/>
  <c r="L26" i="20"/>
  <c r="K26" i="20"/>
  <c r="J26" i="20"/>
  <c r="I26" i="20"/>
  <c r="H26" i="20"/>
  <c r="G26" i="20"/>
  <c r="F26" i="20"/>
  <c r="E26" i="20"/>
  <c r="AH25" i="20"/>
  <c r="AG25" i="20"/>
  <c r="AF25" i="20"/>
  <c r="AE25" i="20"/>
  <c r="AD25" i="20"/>
  <c r="AC25" i="20"/>
  <c r="AB25" i="20"/>
  <c r="AA25" i="20"/>
  <c r="Z25" i="20"/>
  <c r="Y25" i="20"/>
  <c r="W25" i="20"/>
  <c r="V25" i="20"/>
  <c r="U25" i="20"/>
  <c r="T25" i="20"/>
  <c r="S25" i="20"/>
  <c r="R25" i="20"/>
  <c r="Q25" i="20"/>
  <c r="P25" i="20"/>
  <c r="X25" i="20" s="1"/>
  <c r="O25" i="20"/>
  <c r="N25" i="20"/>
  <c r="M25" i="20"/>
  <c r="L25" i="20"/>
  <c r="K25" i="20"/>
  <c r="J25" i="20"/>
  <c r="I25" i="20"/>
  <c r="H25" i="20"/>
  <c r="G25" i="20"/>
  <c r="F25" i="20"/>
  <c r="E25" i="20"/>
  <c r="AH24" i="20"/>
  <c r="AG24" i="20"/>
  <c r="AF24" i="20"/>
  <c r="AE24" i="20"/>
  <c r="AD24" i="20"/>
  <c r="AC24" i="20"/>
  <c r="AB24" i="20"/>
  <c r="AA24" i="20"/>
  <c r="Z24" i="20"/>
  <c r="Y24" i="20"/>
  <c r="W24" i="20"/>
  <c r="V24" i="20"/>
  <c r="U24" i="20"/>
  <c r="T24" i="20"/>
  <c r="S24" i="20"/>
  <c r="R24" i="20"/>
  <c r="Q24" i="20"/>
  <c r="P24" i="20"/>
  <c r="X24" i="20" s="1"/>
  <c r="O24" i="20"/>
  <c r="N24" i="20"/>
  <c r="M24" i="20"/>
  <c r="L24" i="20"/>
  <c r="K24" i="20"/>
  <c r="J24" i="20"/>
  <c r="I24" i="20"/>
  <c r="H24" i="20"/>
  <c r="G24" i="20"/>
  <c r="F24" i="20"/>
  <c r="E24" i="20"/>
  <c r="AH20" i="20"/>
  <c r="AG20" i="20"/>
  <c r="AF20" i="20"/>
  <c r="AE20" i="20"/>
  <c r="AD20" i="20"/>
  <c r="AC20" i="20"/>
  <c r="AB20" i="20"/>
  <c r="AA20" i="20"/>
  <c r="Z20" i="20"/>
  <c r="Y20" i="20"/>
  <c r="W20" i="20"/>
  <c r="V20" i="20"/>
  <c r="U20" i="20"/>
  <c r="T20" i="20"/>
  <c r="S20" i="20"/>
  <c r="R20" i="20"/>
  <c r="Q20" i="20"/>
  <c r="P20" i="20"/>
  <c r="X20" i="20" s="1"/>
  <c r="O20" i="20"/>
  <c r="N20" i="20"/>
  <c r="M20" i="20"/>
  <c r="L20" i="20"/>
  <c r="K20" i="20"/>
  <c r="J20" i="20"/>
  <c r="I20" i="20"/>
  <c r="H20" i="20"/>
  <c r="G20" i="20"/>
  <c r="F20" i="20"/>
  <c r="E20" i="20"/>
  <c r="AH19" i="20"/>
  <c r="AG19" i="20"/>
  <c r="AF19" i="20"/>
  <c r="AE19" i="20"/>
  <c r="AD19" i="20"/>
  <c r="AC19" i="20"/>
  <c r="AB19" i="20"/>
  <c r="AA19" i="20"/>
  <c r="Z19" i="20"/>
  <c r="Y19" i="20"/>
  <c r="W19" i="20"/>
  <c r="V19" i="20"/>
  <c r="U19" i="20"/>
  <c r="T19" i="20"/>
  <c r="S19" i="20"/>
  <c r="R19" i="20"/>
  <c r="Q19" i="20"/>
  <c r="P19" i="20"/>
  <c r="X19" i="20" s="1"/>
  <c r="O19" i="20"/>
  <c r="N19" i="20"/>
  <c r="M19" i="20"/>
  <c r="L19" i="20"/>
  <c r="K19" i="20"/>
  <c r="J19" i="20"/>
  <c r="I19" i="20"/>
  <c r="H19" i="20"/>
  <c r="G19" i="20"/>
  <c r="F19" i="20"/>
  <c r="E19" i="20"/>
  <c r="AH18" i="20"/>
  <c r="AG18" i="20"/>
  <c r="AF18" i="20"/>
  <c r="AE18" i="20"/>
  <c r="AD18" i="20"/>
  <c r="AC18" i="20"/>
  <c r="AB18" i="20"/>
  <c r="AA18" i="20"/>
  <c r="Z18" i="20"/>
  <c r="Y18" i="20"/>
  <c r="W18" i="20"/>
  <c r="V18" i="20"/>
  <c r="U18" i="20"/>
  <c r="T18" i="20"/>
  <c r="S18" i="20"/>
  <c r="R18" i="20"/>
  <c r="Q18" i="20"/>
  <c r="P18" i="20"/>
  <c r="X18" i="20" s="1"/>
  <c r="O18" i="20"/>
  <c r="N18" i="20"/>
  <c r="M18" i="20"/>
  <c r="L18" i="20"/>
  <c r="K18" i="20"/>
  <c r="J18" i="20"/>
  <c r="I18" i="20"/>
  <c r="H18" i="20"/>
  <c r="G18" i="20"/>
  <c r="F18" i="20"/>
  <c r="E18" i="20"/>
  <c r="AH17" i="20"/>
  <c r="AG17" i="20"/>
  <c r="AF17" i="20"/>
  <c r="AE17" i="20"/>
  <c r="AD17" i="20"/>
  <c r="AC17" i="20"/>
  <c r="AB17" i="20"/>
  <c r="AA17" i="20"/>
  <c r="Z17" i="20"/>
  <c r="Y17" i="20"/>
  <c r="W17" i="20"/>
  <c r="V17" i="20"/>
  <c r="U17" i="20"/>
  <c r="T17" i="20"/>
  <c r="S17" i="20"/>
  <c r="R17" i="20"/>
  <c r="Q17" i="20"/>
  <c r="P17" i="20"/>
  <c r="X17" i="20" s="1"/>
  <c r="O17" i="20"/>
  <c r="N17" i="20"/>
  <c r="M17" i="20"/>
  <c r="L17" i="20"/>
  <c r="K17" i="20"/>
  <c r="J17" i="20"/>
  <c r="I17" i="20"/>
  <c r="H17" i="20"/>
  <c r="G17" i="20"/>
  <c r="F17" i="20"/>
  <c r="E17" i="20"/>
  <c r="AH16" i="20"/>
  <c r="AG16" i="20"/>
  <c r="AF16" i="20"/>
  <c r="AE16" i="20"/>
  <c r="AD16" i="20"/>
  <c r="AC16" i="20"/>
  <c r="AB16" i="20"/>
  <c r="AA16" i="20"/>
  <c r="Z16" i="20"/>
  <c r="Y16" i="20"/>
  <c r="W16" i="20"/>
  <c r="V16" i="20"/>
  <c r="U16" i="20"/>
  <c r="T16" i="20"/>
  <c r="S16" i="20"/>
  <c r="R16" i="20"/>
  <c r="Q16" i="20"/>
  <c r="P16" i="20"/>
  <c r="X16" i="20" s="1"/>
  <c r="O16" i="20"/>
  <c r="N16" i="20"/>
  <c r="M16" i="20"/>
  <c r="L16" i="20"/>
  <c r="K16" i="20"/>
  <c r="J16" i="20"/>
  <c r="I16" i="20"/>
  <c r="H16" i="20"/>
  <c r="G16" i="20"/>
  <c r="F16" i="20"/>
  <c r="E16" i="20"/>
  <c r="AH15" i="20"/>
  <c r="AG15" i="20"/>
  <c r="AF15" i="20"/>
  <c r="AE15" i="20"/>
  <c r="AD15" i="20"/>
  <c r="AC15" i="20"/>
  <c r="AB15" i="20"/>
  <c r="AA15" i="20"/>
  <c r="Z15" i="20"/>
  <c r="Y15" i="20"/>
  <c r="W15" i="20"/>
  <c r="V15" i="20"/>
  <c r="U15" i="20"/>
  <c r="T15" i="20"/>
  <c r="S15" i="20"/>
  <c r="R15" i="20"/>
  <c r="Q15" i="20"/>
  <c r="P15" i="20"/>
  <c r="X15" i="20" s="1"/>
  <c r="O15" i="20"/>
  <c r="N15" i="20"/>
  <c r="M15" i="20"/>
  <c r="L15" i="20"/>
  <c r="K15" i="20"/>
  <c r="J15" i="20"/>
  <c r="I15" i="20"/>
  <c r="H15" i="20"/>
  <c r="G15" i="20"/>
  <c r="F15" i="20"/>
  <c r="E15" i="20"/>
  <c r="AH14" i="20"/>
  <c r="AG14" i="20"/>
  <c r="AF14" i="20"/>
  <c r="AE14" i="20"/>
  <c r="AD14" i="20"/>
  <c r="AC14" i="20"/>
  <c r="AB14" i="20"/>
  <c r="AA14" i="20"/>
  <c r="Z14" i="20"/>
  <c r="Y14" i="20"/>
  <c r="W14" i="20"/>
  <c r="V14" i="20"/>
  <c r="U14" i="20"/>
  <c r="T14" i="20"/>
  <c r="S14" i="20"/>
  <c r="R14" i="20"/>
  <c r="Q14" i="20"/>
  <c r="P14" i="20"/>
  <c r="X14" i="20" s="1"/>
  <c r="O14" i="20"/>
  <c r="N14" i="20"/>
  <c r="M14" i="20"/>
  <c r="L14" i="20"/>
  <c r="K14" i="20"/>
  <c r="J14" i="20"/>
  <c r="I14" i="20"/>
  <c r="H14" i="20"/>
  <c r="G14" i="20"/>
  <c r="F14" i="20"/>
  <c r="E14" i="20"/>
  <c r="AH13" i="20"/>
  <c r="AG13" i="20"/>
  <c r="AF13" i="20"/>
  <c r="AE13" i="20"/>
  <c r="AD13" i="20"/>
  <c r="AC13" i="20"/>
  <c r="AB13" i="20"/>
  <c r="AA13" i="20"/>
  <c r="Z13" i="20"/>
  <c r="Y13" i="20"/>
  <c r="W13" i="20"/>
  <c r="V13" i="20"/>
  <c r="U13" i="20"/>
  <c r="T13" i="20"/>
  <c r="S13" i="20"/>
  <c r="R13" i="20"/>
  <c r="Q13" i="20"/>
  <c r="P13" i="20"/>
  <c r="X13" i="20" s="1"/>
  <c r="O13" i="20"/>
  <c r="N13" i="20"/>
  <c r="M13" i="20"/>
  <c r="L13" i="20"/>
  <c r="K13" i="20"/>
  <c r="J13" i="20"/>
  <c r="I13" i="20"/>
  <c r="H13" i="20"/>
  <c r="G13" i="20"/>
  <c r="F13" i="20"/>
  <c r="E13" i="20"/>
  <c r="AH12" i="20"/>
  <c r="AG12" i="20"/>
  <c r="AF12" i="20"/>
  <c r="AE12" i="20"/>
  <c r="AD12" i="20"/>
  <c r="AC12" i="20"/>
  <c r="AB12" i="20"/>
  <c r="AA12" i="20"/>
  <c r="Z12" i="20"/>
  <c r="Y12" i="20"/>
  <c r="W12" i="20"/>
  <c r="V12" i="20"/>
  <c r="U12" i="20"/>
  <c r="T12" i="20"/>
  <c r="S12" i="20"/>
  <c r="R12" i="20"/>
  <c r="Q12" i="20"/>
  <c r="P12" i="20"/>
  <c r="X12" i="20" s="1"/>
  <c r="O12" i="20"/>
  <c r="N12" i="20"/>
  <c r="M12" i="20"/>
  <c r="L12" i="20"/>
  <c r="K12" i="20"/>
  <c r="J12" i="20"/>
  <c r="I12" i="20"/>
  <c r="H12" i="20"/>
  <c r="G12" i="20"/>
  <c r="F12" i="20"/>
  <c r="E12" i="20"/>
  <c r="AH11" i="20"/>
  <c r="AG11" i="20"/>
  <c r="AF11" i="20"/>
  <c r="AE11" i="20"/>
  <c r="AD11" i="20"/>
  <c r="AC11" i="20"/>
  <c r="AB11" i="20"/>
  <c r="AA11" i="20"/>
  <c r="Z11" i="20"/>
  <c r="Y11" i="20"/>
  <c r="W11" i="20"/>
  <c r="V11" i="20"/>
  <c r="U11" i="20"/>
  <c r="T11" i="20"/>
  <c r="S11" i="20"/>
  <c r="R11" i="20"/>
  <c r="Q11" i="20"/>
  <c r="P11" i="20"/>
  <c r="X11" i="20" s="1"/>
  <c r="O11" i="20"/>
  <c r="N11" i="20"/>
  <c r="M11" i="20"/>
  <c r="L11" i="20"/>
  <c r="K11" i="20"/>
  <c r="J11" i="20"/>
  <c r="I11" i="20"/>
  <c r="H11" i="20"/>
  <c r="G11" i="20"/>
  <c r="F11" i="20"/>
  <c r="E11" i="20"/>
  <c r="AH10" i="20"/>
  <c r="AG10" i="20"/>
  <c r="AF10" i="20"/>
  <c r="AE10" i="20"/>
  <c r="AD10" i="20"/>
  <c r="AC10" i="20"/>
  <c r="AB10" i="20"/>
  <c r="AA10" i="20"/>
  <c r="Z10" i="20"/>
  <c r="Y10" i="20"/>
  <c r="W10" i="20"/>
  <c r="V10" i="20"/>
  <c r="U10" i="20"/>
  <c r="T10" i="20"/>
  <c r="S10" i="20"/>
  <c r="R10" i="20"/>
  <c r="Q10" i="20"/>
  <c r="P10" i="20"/>
  <c r="X10" i="20" s="1"/>
  <c r="O10" i="20"/>
  <c r="N10" i="20"/>
  <c r="M10" i="20"/>
  <c r="L10" i="20"/>
  <c r="K10" i="20"/>
  <c r="J10" i="20"/>
  <c r="I10" i="20"/>
  <c r="H10" i="20"/>
  <c r="G10" i="20"/>
  <c r="F10" i="20"/>
  <c r="E10" i="20"/>
  <c r="AH9" i="20"/>
  <c r="AG9" i="20"/>
  <c r="AF9" i="20"/>
  <c r="AE9" i="20"/>
  <c r="AD9" i="20"/>
  <c r="AC9" i="20"/>
  <c r="AB9" i="20"/>
  <c r="AA9" i="20"/>
  <c r="Z9" i="20"/>
  <c r="Y9" i="20"/>
  <c r="W9" i="20"/>
  <c r="V9" i="20"/>
  <c r="U9" i="20"/>
  <c r="T9" i="20"/>
  <c r="S9" i="20"/>
  <c r="R9" i="20"/>
  <c r="Q9" i="20"/>
  <c r="P9" i="20"/>
  <c r="X9" i="20" s="1"/>
  <c r="O9" i="20"/>
  <c r="N9" i="20"/>
  <c r="M9" i="20"/>
  <c r="L9" i="20"/>
  <c r="K9" i="20"/>
  <c r="J9" i="20"/>
  <c r="I9" i="20"/>
  <c r="H9" i="20"/>
  <c r="G9" i="20"/>
  <c r="F9" i="20"/>
  <c r="E9" i="20"/>
  <c r="AH8" i="20"/>
  <c r="AG8" i="20"/>
  <c r="AF8" i="20"/>
  <c r="AE8" i="20"/>
  <c r="AD8" i="20"/>
  <c r="AC8" i="20"/>
  <c r="AB8" i="20"/>
  <c r="AA8" i="20"/>
  <c r="Z8" i="20"/>
  <c r="Y8" i="20"/>
  <c r="W8" i="20"/>
  <c r="V8" i="20"/>
  <c r="U8" i="20"/>
  <c r="T8" i="20"/>
  <c r="S8" i="20"/>
  <c r="R8" i="20"/>
  <c r="Q8" i="20"/>
  <c r="P8" i="20"/>
  <c r="X8" i="20" s="1"/>
  <c r="O8" i="20"/>
  <c r="N8" i="20"/>
  <c r="M8" i="20"/>
  <c r="L8" i="20"/>
  <c r="K8" i="20"/>
  <c r="J8" i="20"/>
  <c r="I8" i="20"/>
  <c r="H8" i="20"/>
  <c r="G8" i="20"/>
  <c r="F8" i="20"/>
  <c r="E8" i="20"/>
  <c r="AH7" i="20"/>
  <c r="AG7" i="20"/>
  <c r="AF7" i="20"/>
  <c r="AE7" i="20"/>
  <c r="AD7" i="20"/>
  <c r="AC7" i="20"/>
  <c r="AB7" i="20"/>
  <c r="AA7" i="20"/>
  <c r="Z7" i="20"/>
  <c r="Y7" i="20"/>
  <c r="W7" i="20"/>
  <c r="V7" i="20"/>
  <c r="U7" i="20"/>
  <c r="T7" i="20"/>
  <c r="S7" i="20"/>
  <c r="R7" i="20"/>
  <c r="Q7" i="20"/>
  <c r="P7" i="20"/>
  <c r="X7" i="20" s="1"/>
  <c r="O7" i="20"/>
  <c r="N7" i="20"/>
  <c r="M7" i="20"/>
  <c r="L7" i="20"/>
  <c r="K7" i="20"/>
  <c r="J7" i="20"/>
  <c r="I7" i="20"/>
  <c r="H7" i="20"/>
  <c r="G7" i="20"/>
  <c r="F7" i="20"/>
  <c r="E7" i="20"/>
  <c r="AH6" i="20"/>
  <c r="AG6" i="20"/>
  <c r="AF6" i="20"/>
  <c r="AE6" i="20"/>
  <c r="AD6" i="20"/>
  <c r="AC6" i="20"/>
  <c r="AB6" i="20"/>
  <c r="AA6" i="20"/>
  <c r="Z6" i="20"/>
  <c r="Y6" i="20"/>
  <c r="W6" i="20"/>
  <c r="V6" i="20"/>
  <c r="U6" i="20"/>
  <c r="T6" i="20"/>
  <c r="S6" i="20"/>
  <c r="R6" i="20"/>
  <c r="Q6" i="20"/>
  <c r="P6" i="20"/>
  <c r="X6" i="20" s="1"/>
  <c r="O6" i="20"/>
  <c r="N6" i="20"/>
  <c r="M6" i="20"/>
  <c r="L6" i="20"/>
  <c r="K6" i="20"/>
  <c r="J6" i="20"/>
  <c r="I6" i="20"/>
  <c r="H6" i="20"/>
  <c r="G6" i="20"/>
  <c r="F6" i="20"/>
  <c r="E6" i="20"/>
  <c r="AH5" i="20"/>
  <c r="AG5" i="20"/>
  <c r="AF5" i="20"/>
  <c r="AE5" i="20"/>
  <c r="AD5" i="20"/>
  <c r="AC5" i="20"/>
  <c r="AB5" i="20"/>
  <c r="AA5" i="20"/>
  <c r="Z5" i="20"/>
  <c r="Y5" i="20"/>
  <c r="W5" i="20"/>
  <c r="V5" i="20"/>
  <c r="U5" i="20"/>
  <c r="T5" i="20"/>
  <c r="S5" i="20"/>
  <c r="R5" i="20"/>
  <c r="Q5" i="20"/>
  <c r="P5" i="20"/>
  <c r="X5" i="20" s="1"/>
  <c r="O5" i="20"/>
  <c r="N5" i="20"/>
  <c r="M5" i="20"/>
  <c r="L5" i="20"/>
  <c r="K5" i="20"/>
  <c r="J5" i="20"/>
  <c r="I5" i="20"/>
  <c r="H5" i="20"/>
  <c r="G5" i="20"/>
  <c r="F5" i="20"/>
  <c r="E5" i="20"/>
  <c r="AH4" i="20"/>
  <c r="AG4" i="20"/>
  <c r="AF4" i="20"/>
  <c r="AE4" i="20"/>
  <c r="AD4" i="20"/>
  <c r="AC4" i="20"/>
  <c r="AB4" i="20"/>
  <c r="AA4" i="20"/>
  <c r="Z4" i="20"/>
  <c r="Y4" i="20"/>
  <c r="W4" i="20"/>
  <c r="V4" i="20"/>
  <c r="U4" i="20"/>
  <c r="T4" i="20"/>
  <c r="S4" i="20"/>
  <c r="R4" i="20"/>
  <c r="Q4" i="20"/>
  <c r="P4" i="20"/>
  <c r="X4" i="20" s="1"/>
  <c r="O4" i="20"/>
  <c r="N4" i="20"/>
  <c r="M4" i="20"/>
  <c r="L4" i="20"/>
  <c r="K4" i="20"/>
  <c r="J4" i="20"/>
  <c r="I4" i="20"/>
  <c r="H4" i="20"/>
  <c r="G4" i="20"/>
  <c r="F4" i="20"/>
  <c r="E4" i="20"/>
  <c r="AI3" i="20"/>
  <c r="AH3" i="20"/>
  <c r="AG3" i="20"/>
  <c r="AF3" i="20"/>
  <c r="AE3" i="20"/>
  <c r="AD3" i="20"/>
  <c r="AC3" i="20"/>
  <c r="AB3" i="20"/>
  <c r="AA3" i="20"/>
  <c r="Z3" i="20"/>
  <c r="Y3" i="20"/>
  <c r="W3" i="20"/>
  <c r="V3" i="20"/>
  <c r="U3" i="20"/>
  <c r="T3" i="20"/>
  <c r="S3" i="20"/>
  <c r="R3" i="20"/>
  <c r="Q3" i="20"/>
  <c r="P3" i="20"/>
  <c r="X3" i="20" s="1"/>
  <c r="O3" i="20"/>
  <c r="N3" i="20"/>
  <c r="M3" i="20"/>
  <c r="L3" i="20"/>
  <c r="K3" i="20"/>
  <c r="J3" i="20"/>
  <c r="I3" i="20"/>
  <c r="H3" i="20"/>
  <c r="G3" i="20"/>
  <c r="F3" i="20"/>
  <c r="E3" i="20"/>
  <c r="AQ3" i="20" l="1"/>
  <c r="AK45" i="20"/>
  <c r="AQ87" i="20"/>
  <c r="AJ150" i="20"/>
  <c r="AQ45" i="20"/>
  <c r="AI24" i="20"/>
  <c r="AS129" i="20"/>
  <c r="AQ66" i="20"/>
  <c r="AQ213" i="20"/>
  <c r="AK24" i="20"/>
  <c r="AS24" i="20"/>
  <c r="AQ108" i="20"/>
  <c r="AJ108" i="20"/>
  <c r="AS192" i="20"/>
  <c r="AQ192" i="20"/>
  <c r="AP87" i="20"/>
  <c r="AP171" i="20"/>
  <c r="AP192" i="20"/>
  <c r="AK150" i="20"/>
  <c r="AQ150" i="20"/>
  <c r="AK171" i="20"/>
  <c r="AP45" i="20"/>
  <c r="AP129" i="20"/>
  <c r="AJ3" i="20"/>
  <c r="AP24" i="20"/>
  <c r="AJ45" i="20"/>
  <c r="AP66" i="20"/>
  <c r="AJ87" i="20"/>
  <c r="AP108" i="20"/>
  <c r="AJ129" i="20"/>
  <c r="AP150" i="20"/>
  <c r="AJ171" i="20"/>
  <c r="AJ213" i="20"/>
  <c r="BB32" i="13" l="1"/>
  <c r="BB85" i="13"/>
  <c r="BA95" i="13" l="1"/>
  <c r="K18" i="2"/>
  <c r="J18" i="2"/>
  <c r="I18" i="2"/>
  <c r="K12" i="2"/>
  <c r="J12" i="2"/>
  <c r="I12" i="2"/>
  <c r="C11" i="2"/>
  <c r="B11" i="2"/>
  <c r="A11" i="2"/>
  <c r="K10" i="2"/>
  <c r="J10" i="2"/>
  <c r="I10" i="2"/>
  <c r="S9" i="2"/>
  <c r="R9" i="2"/>
  <c r="Q9" i="2"/>
  <c r="G9" i="2"/>
  <c r="F9" i="2"/>
  <c r="E9" i="2"/>
  <c r="O8" i="2"/>
  <c r="N8" i="2"/>
  <c r="M8" i="2"/>
  <c r="S7" i="2"/>
  <c r="R7" i="2"/>
  <c r="Q7" i="2"/>
  <c r="G7" i="2"/>
  <c r="F7" i="2"/>
  <c r="E7" i="2"/>
  <c r="O6" i="2"/>
  <c r="N6" i="2"/>
  <c r="M6" i="2"/>
  <c r="C5" i="2"/>
  <c r="B5" i="2"/>
  <c r="A5" i="2"/>
  <c r="I14" i="19"/>
  <c r="I13" i="19"/>
  <c r="I12" i="19"/>
  <c r="I11" i="19"/>
  <c r="I10" i="19"/>
  <c r="D10" i="19"/>
  <c r="C10" i="19"/>
  <c r="I9" i="19"/>
  <c r="D9" i="19"/>
  <c r="C9" i="19"/>
  <c r="I8" i="19"/>
  <c r="D8" i="19"/>
  <c r="C8" i="19"/>
  <c r="I7" i="19"/>
  <c r="D7" i="19"/>
  <c r="C7" i="19"/>
  <c r="I6" i="19"/>
  <c r="D6" i="19"/>
  <c r="C6" i="19"/>
  <c r="I5" i="19"/>
  <c r="D5" i="19"/>
  <c r="C5" i="19"/>
  <c r="I4" i="19"/>
  <c r="D4" i="19"/>
  <c r="C4" i="19"/>
  <c r="I3" i="19"/>
  <c r="D3" i="19"/>
  <c r="C3" i="19"/>
  <c r="D2" i="19"/>
  <c r="C2" i="19"/>
  <c r="AD95" i="7"/>
  <c r="AC95" i="7"/>
  <c r="AA95" i="7"/>
  <c r="Z95" i="7"/>
  <c r="X95" i="7"/>
  <c r="W95" i="7"/>
  <c r="U95" i="7"/>
  <c r="T95" i="7"/>
  <c r="R95" i="7"/>
  <c r="Q95" i="7"/>
  <c r="O95" i="7"/>
  <c r="N95" i="7"/>
  <c r="L95" i="7"/>
  <c r="K95" i="7"/>
  <c r="I95" i="7"/>
  <c r="H95" i="7"/>
  <c r="F95" i="7"/>
  <c r="E95" i="7"/>
  <c r="B14" i="18"/>
  <c r="F13" i="18"/>
  <c r="S71" i="17"/>
  <c r="R71" i="17"/>
  <c r="Q71" i="17"/>
  <c r="O71" i="17"/>
  <c r="N71" i="17"/>
  <c r="I71" i="17"/>
  <c r="H71" i="17"/>
  <c r="G71" i="17"/>
  <c r="F71" i="17"/>
  <c r="E71" i="17"/>
  <c r="D71" i="17"/>
  <c r="C71" i="17"/>
  <c r="S70" i="17"/>
  <c r="R70" i="17"/>
  <c r="Q70" i="17"/>
  <c r="O70" i="17"/>
  <c r="S69" i="17"/>
  <c r="R69" i="17"/>
  <c r="Q69" i="17"/>
  <c r="N69" i="17"/>
  <c r="S68" i="17"/>
  <c r="R68" i="17"/>
  <c r="Q68" i="17"/>
  <c r="N68" i="17"/>
  <c r="S67" i="17"/>
  <c r="R67" i="17"/>
  <c r="Q67" i="17"/>
  <c r="O67" i="17"/>
  <c r="N67" i="17"/>
  <c r="S66" i="17"/>
  <c r="R66" i="17"/>
  <c r="Q66" i="17"/>
  <c r="O66" i="17"/>
  <c r="N66" i="17"/>
  <c r="S65" i="17"/>
  <c r="R65" i="17"/>
  <c r="Q65" i="17"/>
  <c r="N65" i="17"/>
  <c r="S64" i="17"/>
  <c r="R64" i="17"/>
  <c r="Q64" i="17"/>
  <c r="N64" i="17"/>
  <c r="S63" i="17"/>
  <c r="R63" i="17"/>
  <c r="Q63" i="17"/>
  <c r="N63" i="17"/>
  <c r="S62" i="17"/>
  <c r="R62" i="17"/>
  <c r="Q62" i="17"/>
  <c r="N62" i="17"/>
  <c r="S61" i="17"/>
  <c r="R61" i="17"/>
  <c r="Q61" i="17"/>
  <c r="N61" i="17"/>
  <c r="S60" i="17"/>
  <c r="R60" i="17"/>
  <c r="Q60" i="17"/>
  <c r="N60" i="17"/>
  <c r="S59" i="17"/>
  <c r="R59" i="17"/>
  <c r="Q59" i="17"/>
  <c r="N59" i="17"/>
  <c r="S58" i="17"/>
  <c r="R58" i="17"/>
  <c r="Q58" i="17"/>
  <c r="N58" i="17"/>
  <c r="S57" i="17"/>
  <c r="R57" i="17"/>
  <c r="Q57" i="17"/>
  <c r="N57" i="17"/>
  <c r="S56" i="17"/>
  <c r="R56" i="17"/>
  <c r="Q56" i="17"/>
  <c r="N56" i="17"/>
  <c r="S55" i="17"/>
  <c r="R55" i="17"/>
  <c r="Q55" i="17"/>
  <c r="N55" i="17"/>
  <c r="S54" i="17"/>
  <c r="R54" i="17"/>
  <c r="Q54" i="17"/>
  <c r="N54" i="17"/>
  <c r="S53" i="17"/>
  <c r="R53" i="17"/>
  <c r="Q53" i="17"/>
  <c r="N53" i="17"/>
  <c r="S52" i="17"/>
  <c r="R52" i="17"/>
  <c r="Q52" i="17"/>
  <c r="N52" i="17"/>
  <c r="S51" i="17"/>
  <c r="R51" i="17"/>
  <c r="Q51" i="17"/>
  <c r="O51" i="17"/>
  <c r="N51" i="17"/>
  <c r="S50" i="17"/>
  <c r="R50" i="17"/>
  <c r="Q50" i="17"/>
  <c r="N50" i="17"/>
  <c r="S49" i="17"/>
  <c r="R49" i="17"/>
  <c r="Q49" i="17"/>
  <c r="N49" i="17"/>
  <c r="S48" i="17"/>
  <c r="R48" i="17"/>
  <c r="Q48" i="17"/>
  <c r="N48" i="17"/>
  <c r="S47" i="17"/>
  <c r="R47" i="17"/>
  <c r="Q47" i="17"/>
  <c r="N47" i="17"/>
  <c r="S46" i="17"/>
  <c r="R46" i="17"/>
  <c r="Q46" i="17"/>
  <c r="N46" i="17"/>
  <c r="S45" i="17"/>
  <c r="R45" i="17"/>
  <c r="Q45" i="17"/>
  <c r="N45" i="17"/>
  <c r="S44" i="17"/>
  <c r="R44" i="17"/>
  <c r="Q44" i="17"/>
  <c r="N44" i="17"/>
  <c r="S43" i="17"/>
  <c r="R43" i="17"/>
  <c r="Q43" i="17"/>
  <c r="S42" i="17"/>
  <c r="R42" i="17"/>
  <c r="Q42" i="17"/>
  <c r="N42" i="17"/>
  <c r="S41" i="17"/>
  <c r="R41" i="17"/>
  <c r="Q41" i="17"/>
  <c r="N41" i="17"/>
  <c r="S40" i="17"/>
  <c r="R40" i="17"/>
  <c r="Q40" i="17"/>
  <c r="N40" i="17"/>
  <c r="S39" i="17"/>
  <c r="R39" i="17"/>
  <c r="Q39" i="17"/>
  <c r="N39" i="17"/>
  <c r="S38" i="17"/>
  <c r="R38" i="17"/>
  <c r="Q38" i="17"/>
  <c r="N38" i="17"/>
  <c r="S37" i="17"/>
  <c r="R37" i="17"/>
  <c r="Q37" i="17"/>
  <c r="N37" i="17"/>
  <c r="S36" i="17"/>
  <c r="R36" i="17"/>
  <c r="Q36" i="17"/>
  <c r="N36" i="17"/>
  <c r="S35" i="17"/>
  <c r="R35" i="17"/>
  <c r="Q35" i="17"/>
  <c r="N35" i="17"/>
  <c r="S34" i="17"/>
  <c r="R34" i="17"/>
  <c r="Q34" i="17"/>
  <c r="S33" i="17"/>
  <c r="R33" i="17"/>
  <c r="Q33" i="17"/>
  <c r="N33" i="17"/>
  <c r="S32" i="17"/>
  <c r="R32" i="17"/>
  <c r="Q32" i="17"/>
  <c r="N32" i="17"/>
  <c r="S31" i="17"/>
  <c r="R31" i="17"/>
  <c r="Q31" i="17"/>
  <c r="N31" i="17"/>
  <c r="S30" i="17"/>
  <c r="R30" i="17"/>
  <c r="Q30" i="17"/>
  <c r="N30" i="17"/>
  <c r="S29" i="17"/>
  <c r="R29" i="17"/>
  <c r="Q29" i="17"/>
  <c r="N29" i="17"/>
  <c r="S28" i="17"/>
  <c r="R28" i="17"/>
  <c r="Q28" i="17"/>
  <c r="S27" i="17"/>
  <c r="R27" i="17"/>
  <c r="Q27" i="17"/>
  <c r="N27" i="17"/>
  <c r="S26" i="17"/>
  <c r="R26" i="17"/>
  <c r="Q26" i="17"/>
  <c r="N26" i="17"/>
  <c r="S25" i="17"/>
  <c r="R25" i="17"/>
  <c r="Q25" i="17"/>
  <c r="N25" i="17"/>
  <c r="S24" i="17"/>
  <c r="R24" i="17"/>
  <c r="Q24" i="17"/>
  <c r="N24" i="17"/>
  <c r="S23" i="17"/>
  <c r="R23" i="17"/>
  <c r="Q23" i="17"/>
  <c r="N23" i="17"/>
  <c r="S22" i="17"/>
  <c r="R22" i="17"/>
  <c r="Q22" i="17"/>
  <c r="N22" i="17"/>
  <c r="S21" i="17"/>
  <c r="R21" i="17"/>
  <c r="Q21" i="17"/>
  <c r="N21" i="17"/>
  <c r="S20" i="17"/>
  <c r="R20" i="17"/>
  <c r="Q20" i="17"/>
  <c r="N20" i="17"/>
  <c r="S19" i="17"/>
  <c r="R19" i="17"/>
  <c r="Q19" i="17"/>
  <c r="N19" i="17"/>
  <c r="S18" i="17"/>
  <c r="R18" i="17"/>
  <c r="Q18" i="17"/>
  <c r="N18" i="17"/>
  <c r="S17" i="17"/>
  <c r="R17" i="17"/>
  <c r="Q17" i="17"/>
  <c r="N17" i="17"/>
  <c r="S16" i="17"/>
  <c r="R16" i="17"/>
  <c r="Q16" i="17"/>
  <c r="N16" i="17"/>
  <c r="S15" i="17"/>
  <c r="R15" i="17"/>
  <c r="Q15" i="17"/>
  <c r="N15" i="17"/>
  <c r="S14" i="17"/>
  <c r="R14" i="17"/>
  <c r="Q14" i="17"/>
  <c r="N14" i="17"/>
  <c r="S13" i="17"/>
  <c r="R13" i="17"/>
  <c r="Q13" i="17"/>
  <c r="N13" i="17"/>
  <c r="S12" i="17"/>
  <c r="R12" i="17"/>
  <c r="Q12" i="17"/>
  <c r="N12" i="17"/>
  <c r="S11" i="17"/>
  <c r="R11" i="17"/>
  <c r="Q11" i="17"/>
  <c r="N11" i="17"/>
  <c r="S10" i="17"/>
  <c r="R10" i="17"/>
  <c r="Q10" i="17"/>
  <c r="N10" i="17"/>
  <c r="S9" i="17"/>
  <c r="R9" i="17"/>
  <c r="Q9" i="17"/>
  <c r="N9" i="17"/>
  <c r="S8" i="17"/>
  <c r="R8" i="17"/>
  <c r="Q8" i="17"/>
  <c r="N8" i="17"/>
  <c r="S7" i="17"/>
  <c r="R7" i="17"/>
  <c r="Q7" i="17"/>
  <c r="N7" i="17"/>
  <c r="S6" i="17"/>
  <c r="R6" i="17"/>
  <c r="Q6" i="17"/>
  <c r="N6" i="17"/>
  <c r="S5" i="17"/>
  <c r="R5" i="17"/>
  <c r="Q5" i="17"/>
  <c r="N5" i="17"/>
  <c r="S4" i="17"/>
  <c r="R4" i="17"/>
  <c r="Q4" i="17"/>
  <c r="S3" i="17"/>
  <c r="R3" i="17"/>
  <c r="Q3" i="17"/>
  <c r="S2" i="17"/>
  <c r="R2" i="17"/>
  <c r="Q2" i="17"/>
  <c r="N2" i="17"/>
  <c r="AV94" i="16"/>
  <c r="AT94" i="16"/>
  <c r="AG94" i="16"/>
  <c r="AA94" i="16"/>
  <c r="W94" i="16"/>
  <c r="T94" i="16"/>
  <c r="N94" i="16"/>
  <c r="K94" i="16"/>
  <c r="E94" i="16"/>
  <c r="AV93" i="16"/>
  <c r="AT93" i="16"/>
  <c r="AG93" i="16"/>
  <c r="AA93" i="16"/>
  <c r="W93" i="16"/>
  <c r="T93" i="16"/>
  <c r="N93" i="16"/>
  <c r="K93" i="16"/>
  <c r="E93" i="16"/>
  <c r="AV92" i="16"/>
  <c r="AT92" i="16"/>
  <c r="AG92" i="16"/>
  <c r="AA92" i="16"/>
  <c r="W92" i="16"/>
  <c r="T92" i="16"/>
  <c r="N92" i="16"/>
  <c r="K92" i="16"/>
  <c r="E92" i="16"/>
  <c r="AV91" i="16"/>
  <c r="AT91" i="16"/>
  <c r="AG91" i="16"/>
  <c r="AA91" i="16"/>
  <c r="W91" i="16"/>
  <c r="T91" i="16"/>
  <c r="N91" i="16"/>
  <c r="K91" i="16"/>
  <c r="E91" i="16"/>
  <c r="AV90" i="16"/>
  <c r="AT90" i="16"/>
  <c r="AG90" i="16"/>
  <c r="AA90" i="16"/>
  <c r="W90" i="16"/>
  <c r="T90" i="16"/>
  <c r="N90" i="16"/>
  <c r="K90" i="16"/>
  <c r="E90" i="16"/>
  <c r="AV89" i="16"/>
  <c r="AT89" i="16"/>
  <c r="AG89" i="16"/>
  <c r="AA89" i="16"/>
  <c r="W89" i="16"/>
  <c r="T89" i="16"/>
  <c r="N89" i="16"/>
  <c r="K89" i="16"/>
  <c r="E89" i="16"/>
  <c r="AV88" i="16"/>
  <c r="AT88" i="16"/>
  <c r="AG88" i="16"/>
  <c r="AA88" i="16"/>
  <c r="W88" i="16"/>
  <c r="T88" i="16"/>
  <c r="N88" i="16"/>
  <c r="K88" i="16"/>
  <c r="E88" i="16"/>
  <c r="AV87" i="16"/>
  <c r="AT87" i="16"/>
  <c r="AG87" i="16"/>
  <c r="AA87" i="16"/>
  <c r="W87" i="16"/>
  <c r="T87" i="16"/>
  <c r="N87" i="16"/>
  <c r="K87" i="16"/>
  <c r="E87" i="16"/>
  <c r="AV86" i="16"/>
  <c r="AT86" i="16"/>
  <c r="AG86" i="16"/>
  <c r="AA86" i="16"/>
  <c r="W86" i="16"/>
  <c r="T86" i="16"/>
  <c r="N86" i="16"/>
  <c r="K86" i="16"/>
  <c r="E86" i="16"/>
  <c r="AV85" i="16"/>
  <c r="AT85" i="16"/>
  <c r="AG85" i="16"/>
  <c r="AA85" i="16"/>
  <c r="W85" i="16"/>
  <c r="T85" i="16"/>
  <c r="N85" i="16"/>
  <c r="K85" i="16"/>
  <c r="E85" i="16"/>
  <c r="AV84" i="16"/>
  <c r="AT84" i="16"/>
  <c r="AG84" i="16"/>
  <c r="AA84" i="16"/>
  <c r="W84" i="16"/>
  <c r="T84" i="16"/>
  <c r="N84" i="16"/>
  <c r="K84" i="16"/>
  <c r="E84" i="16"/>
  <c r="AV83" i="16"/>
  <c r="AT83" i="16"/>
  <c r="AG83" i="16"/>
  <c r="AA83" i="16"/>
  <c r="W83" i="16"/>
  <c r="T83" i="16"/>
  <c r="N83" i="16"/>
  <c r="K83" i="16"/>
  <c r="E83" i="16"/>
  <c r="AV82" i="16"/>
  <c r="AT82" i="16"/>
  <c r="AG82" i="16"/>
  <c r="AA82" i="16"/>
  <c r="W82" i="16"/>
  <c r="T82" i="16"/>
  <c r="N82" i="16"/>
  <c r="K82" i="16"/>
  <c r="E82" i="16"/>
  <c r="AV81" i="16"/>
  <c r="AT81" i="16"/>
  <c r="AG81" i="16"/>
  <c r="AA81" i="16"/>
  <c r="W81" i="16"/>
  <c r="T81" i="16"/>
  <c r="N81" i="16"/>
  <c r="K81" i="16"/>
  <c r="E81" i="16"/>
  <c r="AV80" i="16"/>
  <c r="AT80" i="16"/>
  <c r="AG80" i="16"/>
  <c r="AA80" i="16"/>
  <c r="W80" i="16"/>
  <c r="T80" i="16"/>
  <c r="N80" i="16"/>
  <c r="K80" i="16"/>
  <c r="E80" i="16"/>
  <c r="AV79" i="16"/>
  <c r="AT79" i="16"/>
  <c r="AG79" i="16"/>
  <c r="AA79" i="16"/>
  <c r="W79" i="16"/>
  <c r="T79" i="16"/>
  <c r="N79" i="16"/>
  <c r="K79" i="16"/>
  <c r="E79" i="16"/>
  <c r="AV78" i="16"/>
  <c r="AT78" i="16"/>
  <c r="AG78" i="16"/>
  <c r="AA78" i="16"/>
  <c r="W78" i="16"/>
  <c r="T78" i="16"/>
  <c r="N78" i="16"/>
  <c r="K78" i="16"/>
  <c r="E78" i="16"/>
  <c r="AV77" i="16"/>
  <c r="AT77" i="16"/>
  <c r="AG77" i="16"/>
  <c r="AA77" i="16"/>
  <c r="W77" i="16"/>
  <c r="T77" i="16"/>
  <c r="N77" i="16"/>
  <c r="K77" i="16"/>
  <c r="E77" i="16"/>
  <c r="AV76" i="16"/>
  <c r="AT76" i="16"/>
  <c r="AG76" i="16"/>
  <c r="AA76" i="16"/>
  <c r="W76" i="16"/>
  <c r="T76" i="16"/>
  <c r="N76" i="16"/>
  <c r="K76" i="16"/>
  <c r="E76" i="16"/>
  <c r="AV75" i="16"/>
  <c r="AT75" i="16"/>
  <c r="AG75" i="16"/>
  <c r="AA75" i="16"/>
  <c r="W75" i="16"/>
  <c r="T75" i="16"/>
  <c r="N75" i="16"/>
  <c r="K75" i="16"/>
  <c r="E75" i="16"/>
  <c r="AV74" i="16"/>
  <c r="AT74" i="16"/>
  <c r="AG74" i="16"/>
  <c r="AA74" i="16"/>
  <c r="W74" i="16"/>
  <c r="T74" i="16"/>
  <c r="N74" i="16"/>
  <c r="K74" i="16"/>
  <c r="E74" i="16"/>
  <c r="AV73" i="16"/>
  <c r="AT73" i="16"/>
  <c r="AG73" i="16"/>
  <c r="AA73" i="16"/>
  <c r="W73" i="16"/>
  <c r="T73" i="16"/>
  <c r="N73" i="16"/>
  <c r="K73" i="16"/>
  <c r="E73" i="16"/>
  <c r="AV72" i="16"/>
  <c r="AT72" i="16"/>
  <c r="AG72" i="16"/>
  <c r="AA72" i="16"/>
  <c r="W72" i="16"/>
  <c r="T72" i="16"/>
  <c r="N72" i="16"/>
  <c r="K72" i="16"/>
  <c r="E72" i="16"/>
  <c r="AV71" i="16"/>
  <c r="AT71" i="16"/>
  <c r="AG71" i="16"/>
  <c r="AA71" i="16"/>
  <c r="W71" i="16"/>
  <c r="T71" i="16"/>
  <c r="N71" i="16"/>
  <c r="K71" i="16"/>
  <c r="E71" i="16"/>
  <c r="AV70" i="16"/>
  <c r="AT70" i="16"/>
  <c r="AG70" i="16"/>
  <c r="AA70" i="16"/>
  <c r="W70" i="16"/>
  <c r="T70" i="16"/>
  <c r="N70" i="16"/>
  <c r="K70" i="16"/>
  <c r="E70" i="16"/>
  <c r="AV69" i="16"/>
  <c r="AT69" i="16"/>
  <c r="AG69" i="16"/>
  <c r="AA69" i="16"/>
  <c r="W69" i="16"/>
  <c r="T69" i="16"/>
  <c r="N69" i="16"/>
  <c r="K69" i="16"/>
  <c r="E69" i="16"/>
  <c r="AV68" i="16"/>
  <c r="AT68" i="16"/>
  <c r="AG68" i="16"/>
  <c r="AA68" i="16"/>
  <c r="W68" i="16"/>
  <c r="T68" i="16"/>
  <c r="N68" i="16"/>
  <c r="K68" i="16"/>
  <c r="E68" i="16"/>
  <c r="AV67" i="16"/>
  <c r="AT67" i="16"/>
  <c r="AG67" i="16"/>
  <c r="AA67" i="16"/>
  <c r="W67" i="16"/>
  <c r="T67" i="16"/>
  <c r="N67" i="16"/>
  <c r="K67" i="16"/>
  <c r="E67" i="16"/>
  <c r="AV66" i="16"/>
  <c r="AT66" i="16"/>
  <c r="AG66" i="16"/>
  <c r="AA66" i="16"/>
  <c r="W66" i="16"/>
  <c r="T66" i="16"/>
  <c r="N66" i="16"/>
  <c r="K66" i="16"/>
  <c r="E66" i="16"/>
  <c r="AV65" i="16"/>
  <c r="AT65" i="16"/>
  <c r="AG65" i="16"/>
  <c r="AA65" i="16"/>
  <c r="W65" i="16"/>
  <c r="T65" i="16"/>
  <c r="N65" i="16"/>
  <c r="K65" i="16"/>
  <c r="E65" i="16"/>
  <c r="AV64" i="16"/>
  <c r="AT64" i="16"/>
  <c r="AG64" i="16"/>
  <c r="AA64" i="16"/>
  <c r="W64" i="16"/>
  <c r="T64" i="16"/>
  <c r="N64" i="16"/>
  <c r="K64" i="16"/>
  <c r="E64" i="16"/>
  <c r="AV63" i="16"/>
  <c r="AT63" i="16"/>
  <c r="AG63" i="16"/>
  <c r="AA63" i="16"/>
  <c r="W63" i="16"/>
  <c r="T63" i="16"/>
  <c r="N63" i="16"/>
  <c r="K63" i="16"/>
  <c r="E63" i="16"/>
  <c r="AV62" i="16"/>
  <c r="AT62" i="16"/>
  <c r="AG62" i="16"/>
  <c r="AA62" i="16"/>
  <c r="W62" i="16"/>
  <c r="T62" i="16"/>
  <c r="N62" i="16"/>
  <c r="K62" i="16"/>
  <c r="E62" i="16"/>
  <c r="AV61" i="16"/>
  <c r="AT61" i="16"/>
  <c r="AG61" i="16"/>
  <c r="AA61" i="16"/>
  <c r="W61" i="16"/>
  <c r="T61" i="16"/>
  <c r="N61" i="16"/>
  <c r="K61" i="16"/>
  <c r="E61" i="16"/>
  <c r="AV60" i="16"/>
  <c r="AT60" i="16"/>
  <c r="AG60" i="16"/>
  <c r="AA60" i="16"/>
  <c r="W60" i="16"/>
  <c r="T60" i="16"/>
  <c r="N60" i="16"/>
  <c r="K60" i="16"/>
  <c r="E60" i="16"/>
  <c r="AV59" i="16"/>
  <c r="AT59" i="16"/>
  <c r="AG59" i="16"/>
  <c r="AA59" i="16"/>
  <c r="W59" i="16"/>
  <c r="T59" i="16"/>
  <c r="N59" i="16"/>
  <c r="K59" i="16"/>
  <c r="E59" i="16"/>
  <c r="AV58" i="16"/>
  <c r="AT58" i="16"/>
  <c r="AR58" i="16"/>
  <c r="AG58" i="16"/>
  <c r="AA58" i="16"/>
  <c r="W58" i="16"/>
  <c r="T58" i="16"/>
  <c r="N58" i="16"/>
  <c r="K58" i="16"/>
  <c r="E58" i="16"/>
  <c r="AV57" i="16"/>
  <c r="AT57" i="16"/>
  <c r="AG57" i="16"/>
  <c r="AA57" i="16"/>
  <c r="W57" i="16"/>
  <c r="T57" i="16"/>
  <c r="N57" i="16"/>
  <c r="K57" i="16"/>
  <c r="E57" i="16"/>
  <c r="AV56" i="16"/>
  <c r="AT56" i="16"/>
  <c r="AG56" i="16"/>
  <c r="AA56" i="16"/>
  <c r="W56" i="16"/>
  <c r="T56" i="16"/>
  <c r="N56" i="16"/>
  <c r="K56" i="16"/>
  <c r="E56" i="16"/>
  <c r="AV55" i="16"/>
  <c r="AT55" i="16"/>
  <c r="AG55" i="16"/>
  <c r="AA55" i="16"/>
  <c r="W55" i="16"/>
  <c r="T55" i="16"/>
  <c r="N55" i="16"/>
  <c r="K55" i="16"/>
  <c r="E55" i="16"/>
  <c r="AV54" i="16"/>
  <c r="AT54" i="16"/>
  <c r="AG54" i="16"/>
  <c r="AA54" i="16"/>
  <c r="W54" i="16"/>
  <c r="T54" i="16"/>
  <c r="N54" i="16"/>
  <c r="K54" i="16"/>
  <c r="E54" i="16"/>
  <c r="AV53" i="16"/>
  <c r="AT53" i="16"/>
  <c r="AG53" i="16"/>
  <c r="AA53" i="16"/>
  <c r="W53" i="16"/>
  <c r="T53" i="16"/>
  <c r="N53" i="16"/>
  <c r="K53" i="16"/>
  <c r="E53" i="16"/>
  <c r="AV52" i="16"/>
  <c r="AT52" i="16"/>
  <c r="AG52" i="16"/>
  <c r="AA52" i="16"/>
  <c r="W52" i="16"/>
  <c r="T52" i="16"/>
  <c r="N52" i="16"/>
  <c r="K52" i="16"/>
  <c r="E52" i="16"/>
  <c r="AV51" i="16"/>
  <c r="AT51" i="16"/>
  <c r="AG51" i="16"/>
  <c r="AA51" i="16"/>
  <c r="W51" i="16"/>
  <c r="T51" i="16"/>
  <c r="N51" i="16"/>
  <c r="K51" i="16"/>
  <c r="E51" i="16"/>
  <c r="AV50" i="16"/>
  <c r="AT50" i="16"/>
  <c r="AG50" i="16"/>
  <c r="AA50" i="16"/>
  <c r="W50" i="16"/>
  <c r="T50" i="16"/>
  <c r="N50" i="16"/>
  <c r="K50" i="16"/>
  <c r="E50" i="16"/>
  <c r="AV49" i="16"/>
  <c r="AT49" i="16"/>
  <c r="AG49" i="16"/>
  <c r="AA49" i="16"/>
  <c r="W49" i="16"/>
  <c r="T49" i="16"/>
  <c r="N49" i="16"/>
  <c r="K49" i="16"/>
  <c r="E49" i="16"/>
  <c r="AV48" i="16"/>
  <c r="AT48" i="16"/>
  <c r="AG48" i="16"/>
  <c r="AA48" i="16"/>
  <c r="W48" i="16"/>
  <c r="T48" i="16"/>
  <c r="N48" i="16"/>
  <c r="K48" i="16"/>
  <c r="E48" i="16"/>
  <c r="AV47" i="16"/>
  <c r="AT47" i="16"/>
  <c r="AG47" i="16"/>
  <c r="AA47" i="16"/>
  <c r="W47" i="16"/>
  <c r="T47" i="16"/>
  <c r="N47" i="16"/>
  <c r="K47" i="16"/>
  <c r="E47" i="16"/>
  <c r="AV46" i="16"/>
  <c r="AT46" i="16"/>
  <c r="AG46" i="16"/>
  <c r="AA46" i="16"/>
  <c r="W46" i="16"/>
  <c r="T46" i="16"/>
  <c r="N46" i="16"/>
  <c r="K46" i="16"/>
  <c r="E46" i="16"/>
  <c r="AV45" i="16"/>
  <c r="AT45" i="16"/>
  <c r="AG45" i="16"/>
  <c r="AA45" i="16"/>
  <c r="W45" i="16"/>
  <c r="T45" i="16"/>
  <c r="N45" i="16"/>
  <c r="K45" i="16"/>
  <c r="E45" i="16"/>
  <c r="AV44" i="16"/>
  <c r="AT44" i="16"/>
  <c r="AG44" i="16"/>
  <c r="AA44" i="16"/>
  <c r="W44" i="16"/>
  <c r="T44" i="16"/>
  <c r="N44" i="16"/>
  <c r="K44" i="16"/>
  <c r="E44" i="16"/>
  <c r="AV43" i="16"/>
  <c r="AT43" i="16"/>
  <c r="AG43" i="16"/>
  <c r="AA43" i="16"/>
  <c r="W43" i="16"/>
  <c r="T43" i="16"/>
  <c r="N43" i="16"/>
  <c r="K43" i="16"/>
  <c r="E43" i="16"/>
  <c r="AV42" i="16"/>
  <c r="AT42" i="16"/>
  <c r="AG42" i="16"/>
  <c r="AA42" i="16"/>
  <c r="W42" i="16"/>
  <c r="T42" i="16"/>
  <c r="N42" i="16"/>
  <c r="K42" i="16"/>
  <c r="E42" i="16"/>
  <c r="AV41" i="16"/>
  <c r="AT41" i="16"/>
  <c r="AG41" i="16"/>
  <c r="AA41" i="16"/>
  <c r="W41" i="16"/>
  <c r="T41" i="16"/>
  <c r="N41" i="16"/>
  <c r="K41" i="16"/>
  <c r="E41" i="16"/>
  <c r="AV40" i="16"/>
  <c r="AT40" i="16"/>
  <c r="AG40" i="16"/>
  <c r="AA40" i="16"/>
  <c r="W40" i="16"/>
  <c r="T40" i="16"/>
  <c r="N40" i="16"/>
  <c r="K40" i="16"/>
  <c r="E40" i="16"/>
  <c r="AV39" i="16"/>
  <c r="AT39" i="16"/>
  <c r="AG39" i="16"/>
  <c r="AA39" i="16"/>
  <c r="W39" i="16"/>
  <c r="T39" i="16"/>
  <c r="N39" i="16"/>
  <c r="K39" i="16"/>
  <c r="E39" i="16"/>
  <c r="AV38" i="16"/>
  <c r="AT38" i="16"/>
  <c r="AG38" i="16"/>
  <c r="AA38" i="16"/>
  <c r="W38" i="16"/>
  <c r="T38" i="16"/>
  <c r="N38" i="16"/>
  <c r="K38" i="16"/>
  <c r="E38" i="16"/>
  <c r="AV37" i="16"/>
  <c r="AT37" i="16"/>
  <c r="AG37" i="16"/>
  <c r="AA37" i="16"/>
  <c r="W37" i="16"/>
  <c r="T37" i="16"/>
  <c r="N37" i="16"/>
  <c r="K37" i="16"/>
  <c r="E37" i="16"/>
  <c r="AV36" i="16"/>
  <c r="AT36" i="16"/>
  <c r="AG36" i="16"/>
  <c r="AA36" i="16"/>
  <c r="W36" i="16"/>
  <c r="T36" i="16"/>
  <c r="N36" i="16"/>
  <c r="K36" i="16"/>
  <c r="E36" i="16"/>
  <c r="AV35" i="16"/>
  <c r="AT35" i="16"/>
  <c r="AG35" i="16"/>
  <c r="AA35" i="16"/>
  <c r="W35" i="16"/>
  <c r="T35" i="16"/>
  <c r="N35" i="16"/>
  <c r="K35" i="16"/>
  <c r="E35" i="16"/>
  <c r="AV34" i="16"/>
  <c r="AT34" i="16"/>
  <c r="AG34" i="16"/>
  <c r="AA34" i="16"/>
  <c r="W34" i="16"/>
  <c r="T34" i="16"/>
  <c r="N34" i="16"/>
  <c r="K34" i="16"/>
  <c r="E34" i="16"/>
  <c r="AV33" i="16"/>
  <c r="AT33" i="16"/>
  <c r="AG33" i="16"/>
  <c r="AA33" i="16"/>
  <c r="W33" i="16"/>
  <c r="T33" i="16"/>
  <c r="N33" i="16"/>
  <c r="K33" i="16"/>
  <c r="E33" i="16"/>
  <c r="AV32" i="16"/>
  <c r="AT32" i="16"/>
  <c r="AG32" i="16"/>
  <c r="AA32" i="16"/>
  <c r="W32" i="16"/>
  <c r="T32" i="16"/>
  <c r="N32" i="16"/>
  <c r="K32" i="16"/>
  <c r="E32" i="16"/>
  <c r="AV31" i="16"/>
  <c r="AT31" i="16"/>
  <c r="AG31" i="16"/>
  <c r="AA31" i="16"/>
  <c r="W31" i="16"/>
  <c r="T31" i="16"/>
  <c r="N31" i="16"/>
  <c r="K31" i="16"/>
  <c r="E31" i="16"/>
  <c r="AV30" i="16"/>
  <c r="AT30" i="16"/>
  <c r="AG30" i="16"/>
  <c r="AA30" i="16"/>
  <c r="W30" i="16"/>
  <c r="T30" i="16"/>
  <c r="N30" i="16"/>
  <c r="K30" i="16"/>
  <c r="E30" i="16"/>
  <c r="AV29" i="16"/>
  <c r="AT29" i="16"/>
  <c r="AG29" i="16"/>
  <c r="AA29" i="16"/>
  <c r="W29" i="16"/>
  <c r="T29" i="16"/>
  <c r="N29" i="16"/>
  <c r="K29" i="16"/>
  <c r="E29" i="16"/>
  <c r="AV28" i="16"/>
  <c r="AT28" i="16"/>
  <c r="AG28" i="16"/>
  <c r="AA28" i="16"/>
  <c r="W28" i="16"/>
  <c r="T28" i="16"/>
  <c r="N28" i="16"/>
  <c r="K28" i="16"/>
  <c r="E28" i="16"/>
  <c r="AV27" i="16"/>
  <c r="AT27" i="16"/>
  <c r="AG27" i="16"/>
  <c r="AA27" i="16"/>
  <c r="W27" i="16"/>
  <c r="T27" i="16"/>
  <c r="N27" i="16"/>
  <c r="K27" i="16"/>
  <c r="E27" i="16"/>
  <c r="AV26" i="16"/>
  <c r="AT26" i="16"/>
  <c r="AG26" i="16"/>
  <c r="AA26" i="16"/>
  <c r="W26" i="16"/>
  <c r="T26" i="16"/>
  <c r="N26" i="16"/>
  <c r="K26" i="16"/>
  <c r="E26" i="16"/>
  <c r="AV25" i="16"/>
  <c r="AT25" i="16"/>
  <c r="AG25" i="16"/>
  <c r="AA25" i="16"/>
  <c r="W25" i="16"/>
  <c r="T25" i="16"/>
  <c r="N25" i="16"/>
  <c r="K25" i="16"/>
  <c r="E25" i="16"/>
  <c r="AV24" i="16"/>
  <c r="AT24" i="16"/>
  <c r="AG24" i="16"/>
  <c r="AA24" i="16"/>
  <c r="W24" i="16"/>
  <c r="T24" i="16"/>
  <c r="N24" i="16"/>
  <c r="K24" i="16"/>
  <c r="E24" i="16"/>
  <c r="AV23" i="16"/>
  <c r="AT23" i="16"/>
  <c r="AG23" i="16"/>
  <c r="AA23" i="16"/>
  <c r="W23" i="16"/>
  <c r="T23" i="16"/>
  <c r="N23" i="16"/>
  <c r="K23" i="16"/>
  <c r="E23" i="16"/>
  <c r="AV22" i="16"/>
  <c r="AT22" i="16"/>
  <c r="AG22" i="16"/>
  <c r="AA22" i="16"/>
  <c r="W22" i="16"/>
  <c r="T22" i="16"/>
  <c r="N22" i="16"/>
  <c r="K22" i="16"/>
  <c r="E22" i="16"/>
  <c r="AV21" i="16"/>
  <c r="AT21" i="16"/>
  <c r="AG21" i="16"/>
  <c r="AA21" i="16"/>
  <c r="W21" i="16"/>
  <c r="T21" i="16"/>
  <c r="N21" i="16"/>
  <c r="K21" i="16"/>
  <c r="E21" i="16"/>
  <c r="AV20" i="16"/>
  <c r="AT20" i="16"/>
  <c r="AG20" i="16"/>
  <c r="AA20" i="16"/>
  <c r="W20" i="16"/>
  <c r="T20" i="16"/>
  <c r="N20" i="16"/>
  <c r="K20" i="16"/>
  <c r="E20" i="16"/>
  <c r="AV19" i="16"/>
  <c r="AT19" i="16"/>
  <c r="AG19" i="16"/>
  <c r="AA19" i="16"/>
  <c r="W19" i="16"/>
  <c r="T19" i="16"/>
  <c r="N19" i="16"/>
  <c r="K19" i="16"/>
  <c r="E19" i="16"/>
  <c r="AV18" i="16"/>
  <c r="AT18" i="16"/>
  <c r="AG18" i="16"/>
  <c r="AA18" i="16"/>
  <c r="W18" i="16"/>
  <c r="T18" i="16"/>
  <c r="N18" i="16"/>
  <c r="K18" i="16"/>
  <c r="E18" i="16"/>
  <c r="AV17" i="16"/>
  <c r="AT17" i="16"/>
  <c r="AG17" i="16"/>
  <c r="AA17" i="16"/>
  <c r="W17" i="16"/>
  <c r="T17" i="16"/>
  <c r="N17" i="16"/>
  <c r="K17" i="16"/>
  <c r="E17" i="16"/>
  <c r="AV16" i="16"/>
  <c r="AT16" i="16"/>
  <c r="AG16" i="16"/>
  <c r="AA16" i="16"/>
  <c r="W16" i="16"/>
  <c r="T16" i="16"/>
  <c r="N16" i="16"/>
  <c r="K16" i="16"/>
  <c r="E16" i="16"/>
  <c r="AV15" i="16"/>
  <c r="AT15" i="16"/>
  <c r="AG15" i="16"/>
  <c r="AA15" i="16"/>
  <c r="W15" i="16"/>
  <c r="T15" i="16"/>
  <c r="N15" i="16"/>
  <c r="K15" i="16"/>
  <c r="E15" i="16"/>
  <c r="AV14" i="16"/>
  <c r="AT14" i="16"/>
  <c r="AG14" i="16"/>
  <c r="AA14" i="16"/>
  <c r="W14" i="16"/>
  <c r="T14" i="16"/>
  <c r="N14" i="16"/>
  <c r="K14" i="16"/>
  <c r="E14" i="16"/>
  <c r="AV13" i="16"/>
  <c r="AT13" i="16"/>
  <c r="AG13" i="16"/>
  <c r="AA13" i="16"/>
  <c r="W13" i="16"/>
  <c r="T13" i="16"/>
  <c r="N13" i="16"/>
  <c r="K13" i="16"/>
  <c r="E13" i="16"/>
  <c r="AV12" i="16"/>
  <c r="AT12" i="16"/>
  <c r="AG12" i="16"/>
  <c r="AA12" i="16"/>
  <c r="W12" i="16"/>
  <c r="T12" i="16"/>
  <c r="N12" i="16"/>
  <c r="K12" i="16"/>
  <c r="E12" i="16"/>
  <c r="AV11" i="16"/>
  <c r="AT11" i="16"/>
  <c r="AG11" i="16"/>
  <c r="AA11" i="16"/>
  <c r="W11" i="16"/>
  <c r="T11" i="16"/>
  <c r="N11" i="16"/>
  <c r="K11" i="16"/>
  <c r="E11" i="16"/>
  <c r="AV10" i="16"/>
  <c r="AT10" i="16"/>
  <c r="AG10" i="16"/>
  <c r="AA10" i="16"/>
  <c r="W10" i="16"/>
  <c r="T10" i="16"/>
  <c r="N10" i="16"/>
  <c r="K10" i="16"/>
  <c r="E10" i="16"/>
  <c r="AV9" i="16"/>
  <c r="AT9" i="16"/>
  <c r="AG9" i="16"/>
  <c r="AA9" i="16"/>
  <c r="W9" i="16"/>
  <c r="T9" i="16"/>
  <c r="N9" i="16"/>
  <c r="K9" i="16"/>
  <c r="E9" i="16"/>
  <c r="AV8" i="16"/>
  <c r="AT8" i="16"/>
  <c r="AG8" i="16"/>
  <c r="AA8" i="16"/>
  <c r="W8" i="16"/>
  <c r="T8" i="16"/>
  <c r="N8" i="16"/>
  <c r="K8" i="16"/>
  <c r="E8" i="16"/>
  <c r="AV7" i="16"/>
  <c r="AT7" i="16"/>
  <c r="AG7" i="16"/>
  <c r="AA7" i="16"/>
  <c r="W7" i="16"/>
  <c r="T7" i="16"/>
  <c r="N7" i="16"/>
  <c r="K7" i="16"/>
  <c r="E7" i="16"/>
  <c r="AV6" i="16"/>
  <c r="AT6" i="16"/>
  <c r="AG6" i="16"/>
  <c r="AA6" i="16"/>
  <c r="W6" i="16"/>
  <c r="T6" i="16"/>
  <c r="N6" i="16"/>
  <c r="K6" i="16"/>
  <c r="E6" i="16"/>
  <c r="AV5" i="16"/>
  <c r="AT5" i="16"/>
  <c r="AG5" i="16"/>
  <c r="AA5" i="16"/>
  <c r="W5" i="16"/>
  <c r="T5" i="16"/>
  <c r="N5" i="16"/>
  <c r="K5" i="16"/>
  <c r="E5" i="16"/>
  <c r="AV4" i="16"/>
  <c r="AT4" i="16"/>
  <c r="AG4" i="16"/>
  <c r="AA4" i="16"/>
  <c r="W4" i="16"/>
  <c r="N4" i="16"/>
  <c r="K4" i="16"/>
  <c r="E4" i="16"/>
  <c r="AV3" i="16"/>
  <c r="AT3" i="16"/>
  <c r="AG3" i="16"/>
  <c r="AA3" i="16"/>
  <c r="W3" i="16"/>
  <c r="T3" i="16"/>
  <c r="N3" i="16"/>
  <c r="K3" i="16"/>
  <c r="E3" i="16"/>
  <c r="AY95" i="13"/>
  <c r="AV95" i="16" s="1"/>
  <c r="E95" i="13"/>
  <c r="AW94" i="13"/>
  <c r="AV94" i="13"/>
  <c r="AU94" i="13"/>
  <c r="AR94" i="16" s="1"/>
  <c r="AR94" i="13"/>
  <c r="AQ94" i="13"/>
  <c r="AP94" i="13"/>
  <c r="AO94" i="13"/>
  <c r="AN94" i="13"/>
  <c r="AM94" i="13"/>
  <c r="AL94" i="13"/>
  <c r="AK94" i="13"/>
  <c r="AJ94" i="13"/>
  <c r="AH94" i="13"/>
  <c r="D94" i="13"/>
  <c r="AW93" i="13"/>
  <c r="AV93" i="13"/>
  <c r="AS93" i="16" s="1"/>
  <c r="AU93" i="13"/>
  <c r="AR93" i="13"/>
  <c r="AQ93" i="13"/>
  <c r="AP93" i="13"/>
  <c r="AO93" i="13"/>
  <c r="AN93" i="13"/>
  <c r="AM93" i="13"/>
  <c r="AL93" i="13"/>
  <c r="AK93" i="13"/>
  <c r="AJ93" i="13"/>
  <c r="AH93" i="13"/>
  <c r="D93" i="13"/>
  <c r="AW92" i="13"/>
  <c r="AV92" i="13"/>
  <c r="AU92" i="13"/>
  <c r="AR92" i="16" s="1"/>
  <c r="AR92" i="13"/>
  <c r="AQ92" i="13"/>
  <c r="AP92" i="13"/>
  <c r="AO92" i="13"/>
  <c r="AN92" i="13"/>
  <c r="AM92" i="13"/>
  <c r="AL92" i="13"/>
  <c r="AK92" i="13"/>
  <c r="AJ92" i="13"/>
  <c r="AH92" i="13"/>
  <c r="D92" i="13"/>
  <c r="AW91" i="13"/>
  <c r="AV91" i="13"/>
  <c r="AS91" i="16" s="1"/>
  <c r="AU91" i="13"/>
  <c r="AR91" i="13"/>
  <c r="AQ91" i="13"/>
  <c r="AP91" i="13"/>
  <c r="AO91" i="13"/>
  <c r="AN91" i="13"/>
  <c r="AM91" i="13"/>
  <c r="AL91" i="13"/>
  <c r="AK91" i="13"/>
  <c r="AJ91" i="13"/>
  <c r="AH91" i="13"/>
  <c r="D91" i="13"/>
  <c r="AW90" i="13"/>
  <c r="AU90" i="13"/>
  <c r="AR90" i="13"/>
  <c r="AQ90" i="13"/>
  <c r="AP90" i="13"/>
  <c r="AO90" i="13"/>
  <c r="AN90" i="13"/>
  <c r="AM90" i="13"/>
  <c r="AL90" i="13"/>
  <c r="AK90" i="13"/>
  <c r="AJ90" i="13"/>
  <c r="AH90" i="13"/>
  <c r="D90" i="13"/>
  <c r="AW89" i="13"/>
  <c r="AV89" i="13"/>
  <c r="AS89" i="16" s="1"/>
  <c r="AU89" i="13"/>
  <c r="AR89" i="13"/>
  <c r="AQ89" i="13"/>
  <c r="AP89" i="13"/>
  <c r="AO89" i="13"/>
  <c r="AN89" i="13"/>
  <c r="AM89" i="13"/>
  <c r="AL89" i="13"/>
  <c r="AK89" i="13"/>
  <c r="AJ89" i="13"/>
  <c r="AH89" i="13"/>
  <c r="D89" i="13"/>
  <c r="AW88" i="13"/>
  <c r="AV88" i="13"/>
  <c r="AU88" i="13"/>
  <c r="AR88" i="16" s="1"/>
  <c r="AR88" i="13"/>
  <c r="AQ88" i="13"/>
  <c r="AP88" i="13"/>
  <c r="AO88" i="13"/>
  <c r="AN88" i="13"/>
  <c r="AM88" i="13"/>
  <c r="AL88" i="13"/>
  <c r="AK88" i="13"/>
  <c r="AJ88" i="13"/>
  <c r="AH88" i="13"/>
  <c r="D88" i="13"/>
  <c r="AW87" i="13"/>
  <c r="AV87" i="13"/>
  <c r="AU87" i="13"/>
  <c r="AR87" i="13"/>
  <c r="AQ87" i="13"/>
  <c r="AP87" i="13"/>
  <c r="AO87" i="13"/>
  <c r="AN87" i="13"/>
  <c r="AM87" i="13"/>
  <c r="AL87" i="13"/>
  <c r="AK87" i="13"/>
  <c r="AJ87" i="13"/>
  <c r="AH87" i="13"/>
  <c r="D87" i="13"/>
  <c r="AW86" i="13"/>
  <c r="AV86" i="13"/>
  <c r="AU86" i="13"/>
  <c r="AR86" i="16" s="1"/>
  <c r="AR86" i="13"/>
  <c r="AQ86" i="13"/>
  <c r="AP86" i="13"/>
  <c r="AO86" i="13"/>
  <c r="AN86" i="13"/>
  <c r="AM86" i="13"/>
  <c r="AL86" i="13"/>
  <c r="AK86" i="13"/>
  <c r="AJ86" i="13"/>
  <c r="AH86" i="13"/>
  <c r="D86" i="13"/>
  <c r="AW85" i="13"/>
  <c r="AV85" i="13"/>
  <c r="AU85" i="13"/>
  <c r="AR85" i="13"/>
  <c r="AQ85" i="13"/>
  <c r="AP85" i="13"/>
  <c r="AO85" i="13"/>
  <c r="AN85" i="13"/>
  <c r="AM85" i="13"/>
  <c r="AL85" i="13"/>
  <c r="AK85" i="13"/>
  <c r="AJ85" i="13"/>
  <c r="D85" i="13"/>
  <c r="AW84" i="13"/>
  <c r="AV84" i="13"/>
  <c r="AU84" i="13"/>
  <c r="AR84" i="13"/>
  <c r="AQ84" i="13"/>
  <c r="AP84" i="13"/>
  <c r="AO84" i="13"/>
  <c r="AN84" i="13"/>
  <c r="AM84" i="13"/>
  <c r="AL84" i="13"/>
  <c r="AK84" i="13"/>
  <c r="AJ84" i="13"/>
  <c r="AH84" i="13"/>
  <c r="D85" i="16" s="1"/>
  <c r="AX85" i="16" s="1"/>
  <c r="D84" i="13"/>
  <c r="AW83" i="13"/>
  <c r="AV83" i="13"/>
  <c r="AS83" i="16" s="1"/>
  <c r="AU83" i="13"/>
  <c r="AR83" i="16" s="1"/>
  <c r="AR83" i="13"/>
  <c r="AQ83" i="13"/>
  <c r="AP83" i="13"/>
  <c r="AO83" i="13"/>
  <c r="AN83" i="13"/>
  <c r="AM83" i="13"/>
  <c r="AL83" i="13"/>
  <c r="AK83" i="13"/>
  <c r="AJ83" i="13"/>
  <c r="AH83" i="13"/>
  <c r="D83" i="13"/>
  <c r="AW82" i="13"/>
  <c r="AV82" i="13"/>
  <c r="AU82" i="13"/>
  <c r="AR82" i="13"/>
  <c r="AQ82" i="13"/>
  <c r="AP82" i="13"/>
  <c r="AO82" i="13"/>
  <c r="AN82" i="13"/>
  <c r="AM82" i="13"/>
  <c r="AL82" i="13"/>
  <c r="AK82" i="13"/>
  <c r="AJ82" i="13"/>
  <c r="AH82" i="13"/>
  <c r="D82" i="13"/>
  <c r="AW81" i="13"/>
  <c r="AV81" i="13"/>
  <c r="AS81" i="16" s="1"/>
  <c r="AU81" i="13"/>
  <c r="AR81" i="16" s="1"/>
  <c r="AR81" i="13"/>
  <c r="AQ81" i="13"/>
  <c r="AP81" i="13"/>
  <c r="AO81" i="13"/>
  <c r="AN81" i="13"/>
  <c r="AM81" i="13"/>
  <c r="AL81" i="13"/>
  <c r="AK81" i="13"/>
  <c r="AJ81" i="13"/>
  <c r="AH81" i="13"/>
  <c r="D81" i="13"/>
  <c r="AW80" i="13"/>
  <c r="AV80" i="13"/>
  <c r="AU80" i="13"/>
  <c r="AR80" i="13"/>
  <c r="AQ80" i="13"/>
  <c r="AP80" i="13"/>
  <c r="AO80" i="13"/>
  <c r="AN80" i="13"/>
  <c r="AM80" i="13"/>
  <c r="AL80" i="13"/>
  <c r="AK80" i="13"/>
  <c r="AJ80" i="13"/>
  <c r="AH80" i="13"/>
  <c r="D80" i="13"/>
  <c r="AW79" i="13"/>
  <c r="AV79" i="13"/>
  <c r="AU79" i="13"/>
  <c r="AR79" i="16" s="1"/>
  <c r="AR79" i="13"/>
  <c r="AQ79" i="13"/>
  <c r="AP79" i="13"/>
  <c r="AO79" i="13"/>
  <c r="AN79" i="13"/>
  <c r="AM79" i="13"/>
  <c r="AL79" i="13"/>
  <c r="AK79" i="13"/>
  <c r="AJ79" i="13"/>
  <c r="AH79" i="13"/>
  <c r="D79" i="13"/>
  <c r="AW78" i="13"/>
  <c r="AV78" i="13"/>
  <c r="AU78" i="13"/>
  <c r="AR78" i="13"/>
  <c r="AQ78" i="13"/>
  <c r="AP78" i="13"/>
  <c r="AO78" i="13"/>
  <c r="AN78" i="13"/>
  <c r="AM78" i="13"/>
  <c r="AL78" i="13"/>
  <c r="AK78" i="13"/>
  <c r="AJ78" i="13"/>
  <c r="AH78" i="13"/>
  <c r="D78" i="13"/>
  <c r="AW77" i="13"/>
  <c r="AV77" i="13"/>
  <c r="AS77" i="16" s="1"/>
  <c r="AU77" i="13"/>
  <c r="AR77" i="13"/>
  <c r="AQ77" i="13"/>
  <c r="AP77" i="13"/>
  <c r="AO77" i="13"/>
  <c r="AN77" i="13"/>
  <c r="AM77" i="13"/>
  <c r="AL77" i="13"/>
  <c r="AK77" i="13"/>
  <c r="AJ77" i="13"/>
  <c r="AH77" i="13"/>
  <c r="D77" i="13"/>
  <c r="AW76" i="13"/>
  <c r="AV76" i="13"/>
  <c r="AU76" i="13"/>
  <c r="AR76" i="13"/>
  <c r="AQ76" i="13"/>
  <c r="AP76" i="13"/>
  <c r="AO76" i="13"/>
  <c r="AN76" i="13"/>
  <c r="AM76" i="13"/>
  <c r="AL76" i="13"/>
  <c r="AK76" i="13"/>
  <c r="AJ76" i="13"/>
  <c r="AH76" i="13"/>
  <c r="D76" i="13"/>
  <c r="AW75" i="13"/>
  <c r="AV75" i="13"/>
  <c r="AS75" i="16" s="1"/>
  <c r="AU75" i="13"/>
  <c r="AR75" i="16" s="1"/>
  <c r="AR75" i="13"/>
  <c r="AQ75" i="13"/>
  <c r="AP75" i="13"/>
  <c r="AO75" i="13"/>
  <c r="AN75" i="13"/>
  <c r="AM75" i="13"/>
  <c r="AL75" i="13"/>
  <c r="AK75" i="13"/>
  <c r="AJ75" i="13"/>
  <c r="AH75" i="13"/>
  <c r="D75" i="13"/>
  <c r="AW74" i="13"/>
  <c r="AV74" i="13"/>
  <c r="AU74" i="13"/>
  <c r="AR74" i="13"/>
  <c r="AQ74" i="13"/>
  <c r="AP74" i="13"/>
  <c r="AO74" i="13"/>
  <c r="AN74" i="13"/>
  <c r="AM74" i="13"/>
  <c r="AL74" i="13"/>
  <c r="AK74" i="13"/>
  <c r="AJ74" i="13"/>
  <c r="AH74" i="13"/>
  <c r="D74" i="13"/>
  <c r="AW73" i="13"/>
  <c r="AV73" i="13"/>
  <c r="AS73" i="16" s="1"/>
  <c r="AU73" i="13"/>
  <c r="AR73" i="16" s="1"/>
  <c r="AR73" i="13"/>
  <c r="AQ73" i="13"/>
  <c r="AP73" i="13"/>
  <c r="AO73" i="13"/>
  <c r="AN73" i="13"/>
  <c r="AM73" i="13"/>
  <c r="AL73" i="13"/>
  <c r="AK73" i="13"/>
  <c r="AJ73" i="13"/>
  <c r="AH73" i="13"/>
  <c r="D73" i="13"/>
  <c r="AW72" i="13"/>
  <c r="AV72" i="13"/>
  <c r="AU72" i="13"/>
  <c r="AR72" i="13"/>
  <c r="AQ72" i="13"/>
  <c r="AP72" i="13"/>
  <c r="AO72" i="13"/>
  <c r="AN72" i="13"/>
  <c r="AM72" i="13"/>
  <c r="AL72" i="13"/>
  <c r="AK72" i="13"/>
  <c r="AJ72" i="13"/>
  <c r="AH72" i="13"/>
  <c r="D72" i="13"/>
  <c r="AW71" i="13"/>
  <c r="AV71" i="13"/>
  <c r="AU71" i="13"/>
  <c r="AR71" i="16" s="1"/>
  <c r="AR71" i="13"/>
  <c r="AQ71" i="13"/>
  <c r="AP71" i="13"/>
  <c r="AO71" i="13"/>
  <c r="AN71" i="13"/>
  <c r="AM71" i="13"/>
  <c r="AL71" i="13"/>
  <c r="AK71" i="13"/>
  <c r="AJ71" i="13"/>
  <c r="AH71" i="13"/>
  <c r="D71" i="13"/>
  <c r="AW70" i="13"/>
  <c r="AV70" i="13"/>
  <c r="AU70" i="13"/>
  <c r="AR70" i="13"/>
  <c r="AQ70" i="13"/>
  <c r="AP70" i="13"/>
  <c r="AO70" i="13"/>
  <c r="AN70" i="13"/>
  <c r="AM70" i="13"/>
  <c r="AL70" i="13"/>
  <c r="AK70" i="13"/>
  <c r="AJ70" i="13"/>
  <c r="AH70" i="13"/>
  <c r="D70" i="13"/>
  <c r="AW69" i="13"/>
  <c r="AV69" i="13"/>
  <c r="AS69" i="16" s="1"/>
  <c r="AU69" i="13"/>
  <c r="AR69" i="13"/>
  <c r="AQ69" i="13"/>
  <c r="AP69" i="13"/>
  <c r="AO69" i="13"/>
  <c r="AN69" i="13"/>
  <c r="AM69" i="13"/>
  <c r="AL69" i="13"/>
  <c r="AK69" i="13"/>
  <c r="AJ69" i="13"/>
  <c r="AH69" i="13"/>
  <c r="D69" i="13"/>
  <c r="AW68" i="13"/>
  <c r="AV68" i="13"/>
  <c r="AU68" i="13"/>
  <c r="AR68" i="13"/>
  <c r="AQ68" i="13"/>
  <c r="AP68" i="13"/>
  <c r="AO68" i="13"/>
  <c r="AN68" i="13"/>
  <c r="AM68" i="13"/>
  <c r="AL68" i="13"/>
  <c r="AK68" i="13"/>
  <c r="AJ68" i="13"/>
  <c r="AH68" i="13"/>
  <c r="D68" i="13"/>
  <c r="AW67" i="13"/>
  <c r="AV67" i="13"/>
  <c r="AS67" i="16" s="1"/>
  <c r="AU67" i="13"/>
  <c r="AR67" i="13"/>
  <c r="AQ67" i="13"/>
  <c r="AP67" i="13"/>
  <c r="AO67" i="13"/>
  <c r="AN67" i="13"/>
  <c r="AM67" i="13"/>
  <c r="AL67" i="13"/>
  <c r="AK67" i="13"/>
  <c r="AJ67" i="13"/>
  <c r="AH67" i="13"/>
  <c r="D67" i="13"/>
  <c r="AW66" i="13"/>
  <c r="AV66" i="13"/>
  <c r="AU66" i="13"/>
  <c r="AR66" i="13"/>
  <c r="AQ66" i="13"/>
  <c r="AP66" i="13"/>
  <c r="AO66" i="13"/>
  <c r="AN66" i="13"/>
  <c r="AM66" i="13"/>
  <c r="AL66" i="13"/>
  <c r="AK66" i="13"/>
  <c r="AJ66" i="13"/>
  <c r="AH66" i="13"/>
  <c r="D66" i="13"/>
  <c r="AW65" i="13"/>
  <c r="AV65" i="13"/>
  <c r="AS65" i="16" s="1"/>
  <c r="AU65" i="13"/>
  <c r="AR65" i="16" s="1"/>
  <c r="AR65" i="13"/>
  <c r="AQ65" i="13"/>
  <c r="AP65" i="13"/>
  <c r="AO65" i="13"/>
  <c r="AN65" i="13"/>
  <c r="AM65" i="13"/>
  <c r="AL65" i="13"/>
  <c r="AK65" i="13"/>
  <c r="AJ65" i="13"/>
  <c r="AH65" i="13"/>
  <c r="D65" i="13"/>
  <c r="AW64" i="13"/>
  <c r="AV64" i="13"/>
  <c r="AU64" i="13"/>
  <c r="AR64" i="13"/>
  <c r="AQ64" i="13"/>
  <c r="AP64" i="13"/>
  <c r="AO64" i="13"/>
  <c r="AN64" i="13"/>
  <c r="AM64" i="13"/>
  <c r="AL64" i="13"/>
  <c r="AK64" i="13"/>
  <c r="AJ64" i="13"/>
  <c r="AH64" i="13"/>
  <c r="D64" i="13"/>
  <c r="AW63" i="13"/>
  <c r="AV63" i="13"/>
  <c r="AU63" i="13"/>
  <c r="AR63" i="16" s="1"/>
  <c r="AR63" i="13"/>
  <c r="AQ63" i="13"/>
  <c r="AP63" i="13"/>
  <c r="AO63" i="13"/>
  <c r="AN63" i="13"/>
  <c r="AM63" i="13"/>
  <c r="AL63" i="13"/>
  <c r="AK63" i="13"/>
  <c r="AJ63" i="13"/>
  <c r="AH63" i="13"/>
  <c r="D63" i="13"/>
  <c r="AW62" i="13"/>
  <c r="AV62" i="13"/>
  <c r="AU62" i="13"/>
  <c r="AR62" i="16" s="1"/>
  <c r="AR62" i="13"/>
  <c r="AQ62" i="13"/>
  <c r="AP62" i="13"/>
  <c r="AO62" i="13"/>
  <c r="AN62" i="13"/>
  <c r="AM62" i="13"/>
  <c r="AL62" i="13"/>
  <c r="AK62" i="13"/>
  <c r="AJ62" i="13"/>
  <c r="AH62" i="13"/>
  <c r="D62" i="13"/>
  <c r="AW61" i="13"/>
  <c r="AV61" i="13"/>
  <c r="AS61" i="16" s="1"/>
  <c r="AR61" i="13"/>
  <c r="AQ61" i="13"/>
  <c r="AP61" i="13"/>
  <c r="AO61" i="13"/>
  <c r="AN61" i="13"/>
  <c r="AM61" i="13"/>
  <c r="AL61" i="13"/>
  <c r="AK61" i="13"/>
  <c r="AJ61" i="13"/>
  <c r="AH61" i="13"/>
  <c r="D61" i="13"/>
  <c r="AW60" i="13"/>
  <c r="AV60" i="13"/>
  <c r="AS60" i="16" s="1"/>
  <c r="AU60" i="13"/>
  <c r="AR60" i="13"/>
  <c r="AQ60" i="13"/>
  <c r="AP60" i="13"/>
  <c r="AO60" i="13"/>
  <c r="AN60" i="13"/>
  <c r="AM60" i="13"/>
  <c r="AL60" i="13"/>
  <c r="AK60" i="13"/>
  <c r="AJ60" i="13"/>
  <c r="AH60" i="13"/>
  <c r="D60" i="13"/>
  <c r="AW59" i="13"/>
  <c r="AV59" i="13"/>
  <c r="AU59" i="13"/>
  <c r="AR59" i="16" s="1"/>
  <c r="AR59" i="13"/>
  <c r="AQ59" i="13"/>
  <c r="AP59" i="13"/>
  <c r="AO59" i="13"/>
  <c r="AN59" i="13"/>
  <c r="AM59" i="13"/>
  <c r="AL59" i="13"/>
  <c r="AK59" i="13"/>
  <c r="AJ59" i="13"/>
  <c r="AH59" i="13"/>
  <c r="D59" i="13"/>
  <c r="AW58" i="13"/>
  <c r="AV58" i="13"/>
  <c r="AR58" i="13"/>
  <c r="AQ58" i="13"/>
  <c r="AP58" i="13"/>
  <c r="AO58" i="13"/>
  <c r="AN58" i="13"/>
  <c r="AM58" i="13"/>
  <c r="AL58" i="13"/>
  <c r="AK58" i="13"/>
  <c r="AJ58" i="13"/>
  <c r="AH58" i="13"/>
  <c r="D58" i="13"/>
  <c r="AW57" i="13"/>
  <c r="AV57" i="13"/>
  <c r="AR57" i="13"/>
  <c r="AQ57" i="13"/>
  <c r="AP57" i="13"/>
  <c r="AO57" i="13"/>
  <c r="AN57" i="13"/>
  <c r="AM57" i="13"/>
  <c r="AL57" i="13"/>
  <c r="AK57" i="13"/>
  <c r="AJ57" i="13"/>
  <c r="AH57" i="13"/>
  <c r="D57" i="13"/>
  <c r="AW56" i="13"/>
  <c r="AV56" i="13"/>
  <c r="AS56" i="16" s="1"/>
  <c r="AU56" i="13"/>
  <c r="AR56" i="13"/>
  <c r="AQ56" i="13"/>
  <c r="AP56" i="13"/>
  <c r="AO56" i="13"/>
  <c r="AN56" i="13"/>
  <c r="AM56" i="13"/>
  <c r="AL56" i="13"/>
  <c r="AK56" i="13"/>
  <c r="AJ56" i="13"/>
  <c r="AH56" i="13"/>
  <c r="D56" i="13"/>
  <c r="AW55" i="13"/>
  <c r="AV55" i="13"/>
  <c r="AU55" i="13"/>
  <c r="AR55" i="16" s="1"/>
  <c r="AR55" i="13"/>
  <c r="AQ55" i="13"/>
  <c r="AP55" i="13"/>
  <c r="AO55" i="13"/>
  <c r="AN55" i="13"/>
  <c r="AM55" i="13"/>
  <c r="AL55" i="13"/>
  <c r="AK55" i="13"/>
  <c r="AJ55" i="13"/>
  <c r="AH55" i="13"/>
  <c r="D55" i="13"/>
  <c r="AW54" i="13"/>
  <c r="AV54" i="13"/>
  <c r="AS54" i="16" s="1"/>
  <c r="AR54" i="16"/>
  <c r="AR54" i="13"/>
  <c r="AQ54" i="13"/>
  <c r="AP54" i="13"/>
  <c r="AO54" i="13"/>
  <c r="AN54" i="13"/>
  <c r="AM54" i="13"/>
  <c r="AL54" i="13"/>
  <c r="AK54" i="13"/>
  <c r="AJ54" i="13"/>
  <c r="AH54" i="13"/>
  <c r="D54" i="13"/>
  <c r="AW53" i="13"/>
  <c r="AV53" i="13"/>
  <c r="AR53" i="13"/>
  <c r="AQ53" i="13"/>
  <c r="AP53" i="13"/>
  <c r="AO53" i="13"/>
  <c r="AN53" i="13"/>
  <c r="AM53" i="13"/>
  <c r="AL53" i="13"/>
  <c r="AK53" i="13"/>
  <c r="AJ53" i="13"/>
  <c r="AH53" i="13"/>
  <c r="D53" i="13"/>
  <c r="AW52" i="13"/>
  <c r="AV52" i="13"/>
  <c r="AU52" i="13"/>
  <c r="AR52" i="16" s="1"/>
  <c r="AR52" i="13"/>
  <c r="AQ52" i="13"/>
  <c r="AP52" i="13"/>
  <c r="AO52" i="13"/>
  <c r="AN52" i="13"/>
  <c r="AM52" i="13"/>
  <c r="AL52" i="13"/>
  <c r="AK52" i="13"/>
  <c r="AJ52" i="13"/>
  <c r="AH52" i="13"/>
  <c r="D52" i="13"/>
  <c r="AW51" i="13"/>
  <c r="AV51" i="13"/>
  <c r="AU51" i="13"/>
  <c r="AR51" i="13"/>
  <c r="AQ51" i="13"/>
  <c r="AP51" i="13"/>
  <c r="AO51" i="13"/>
  <c r="AN51" i="13"/>
  <c r="AM51" i="13"/>
  <c r="AL51" i="13"/>
  <c r="AK51" i="13"/>
  <c r="AJ51" i="13"/>
  <c r="AH51" i="13"/>
  <c r="D51" i="13"/>
  <c r="AW50" i="13"/>
  <c r="AV50" i="13"/>
  <c r="AU50" i="13"/>
  <c r="AR50" i="13"/>
  <c r="AQ50" i="13"/>
  <c r="AP50" i="13"/>
  <c r="AO50" i="13"/>
  <c r="AN50" i="13"/>
  <c r="AM50" i="13"/>
  <c r="AL50" i="13"/>
  <c r="AK50" i="13"/>
  <c r="AJ50" i="13"/>
  <c r="AH50" i="13"/>
  <c r="D50" i="13"/>
  <c r="AW49" i="13"/>
  <c r="AV49" i="13"/>
  <c r="AU49" i="13"/>
  <c r="AR49" i="13"/>
  <c r="AQ49" i="13"/>
  <c r="AP49" i="13"/>
  <c r="AO49" i="13"/>
  <c r="AN49" i="13"/>
  <c r="AM49" i="13"/>
  <c r="AL49" i="13"/>
  <c r="AK49" i="13"/>
  <c r="AJ49" i="13"/>
  <c r="AH49" i="13"/>
  <c r="D49" i="13"/>
  <c r="AW48" i="13"/>
  <c r="AV48" i="13"/>
  <c r="AU48" i="13"/>
  <c r="AR48" i="16" s="1"/>
  <c r="AR48" i="13"/>
  <c r="AQ48" i="13"/>
  <c r="AP48" i="13"/>
  <c r="AO48" i="13"/>
  <c r="AN48" i="13"/>
  <c r="AM48" i="13"/>
  <c r="AL48" i="13"/>
  <c r="AK48" i="13"/>
  <c r="AJ48" i="13"/>
  <c r="AH48" i="13"/>
  <c r="D48" i="13"/>
  <c r="AW47" i="13"/>
  <c r="AV47" i="13"/>
  <c r="AU47" i="13"/>
  <c r="AR47" i="13"/>
  <c r="AQ47" i="13"/>
  <c r="AP47" i="13"/>
  <c r="AO47" i="13"/>
  <c r="AN47" i="13"/>
  <c r="AM47" i="13"/>
  <c r="AL47" i="13"/>
  <c r="AK47" i="13"/>
  <c r="AJ47" i="13"/>
  <c r="AH47" i="13"/>
  <c r="D47" i="13"/>
  <c r="AW46" i="13"/>
  <c r="AV46" i="13"/>
  <c r="AS47" i="16" s="1"/>
  <c r="AU46" i="13"/>
  <c r="AR46" i="16" s="1"/>
  <c r="AR46" i="13"/>
  <c r="AQ46" i="13"/>
  <c r="AP46" i="13"/>
  <c r="AO46" i="13"/>
  <c r="AN46" i="13"/>
  <c r="AM46" i="13"/>
  <c r="AL46" i="13"/>
  <c r="AK46" i="13"/>
  <c r="AJ46" i="13"/>
  <c r="AH46" i="13"/>
  <c r="D46" i="13"/>
  <c r="AW45" i="13"/>
  <c r="AV45" i="13"/>
  <c r="AU45" i="13"/>
  <c r="AR45" i="13"/>
  <c r="AQ45" i="13"/>
  <c r="AP45" i="13"/>
  <c r="AO45" i="13"/>
  <c r="AN45" i="13"/>
  <c r="AM45" i="13"/>
  <c r="AL45" i="13"/>
  <c r="AK45" i="13"/>
  <c r="AJ45" i="13"/>
  <c r="AH45" i="13"/>
  <c r="D45" i="13"/>
  <c r="AW44" i="13"/>
  <c r="AV44" i="13"/>
  <c r="AU44" i="13"/>
  <c r="AR44" i="16" s="1"/>
  <c r="AR44" i="13"/>
  <c r="AQ44" i="13"/>
  <c r="AP44" i="13"/>
  <c r="AO44" i="13"/>
  <c r="AN44" i="13"/>
  <c r="AM44" i="13"/>
  <c r="AL44" i="13"/>
  <c r="AK44" i="13"/>
  <c r="AJ44" i="13"/>
  <c r="AH44" i="13"/>
  <c r="D44" i="13"/>
  <c r="AW43" i="13"/>
  <c r="AV43" i="13"/>
  <c r="AU43" i="13"/>
  <c r="AR43" i="13"/>
  <c r="AQ43" i="13"/>
  <c r="AP43" i="13"/>
  <c r="AO43" i="13"/>
  <c r="AN43" i="13"/>
  <c r="AM43" i="13"/>
  <c r="AL43" i="13"/>
  <c r="AK43" i="13"/>
  <c r="AJ43" i="13"/>
  <c r="AH43" i="13"/>
  <c r="D43" i="13"/>
  <c r="AW42" i="13"/>
  <c r="AV42" i="13"/>
  <c r="AU42" i="13"/>
  <c r="AR42" i="13"/>
  <c r="AQ42" i="13"/>
  <c r="AP42" i="13"/>
  <c r="AO42" i="13"/>
  <c r="AN42" i="13"/>
  <c r="AM42" i="13"/>
  <c r="AL42" i="13"/>
  <c r="AK42" i="13"/>
  <c r="AJ42" i="13"/>
  <c r="AH42" i="13"/>
  <c r="D42" i="13"/>
  <c r="AW41" i="13"/>
  <c r="AV41" i="13"/>
  <c r="AU41" i="13"/>
  <c r="AR41" i="13"/>
  <c r="AQ41" i="13"/>
  <c r="AP41" i="13"/>
  <c r="AO41" i="13"/>
  <c r="AN41" i="13"/>
  <c r="AM41" i="13"/>
  <c r="AL41" i="13"/>
  <c r="AK41" i="13"/>
  <c r="AJ41" i="13"/>
  <c r="AH41" i="13"/>
  <c r="D41" i="13"/>
  <c r="AW40" i="13"/>
  <c r="AV40" i="13"/>
  <c r="AU40" i="13"/>
  <c r="AR40" i="16" s="1"/>
  <c r="AR40" i="13"/>
  <c r="AQ40" i="13"/>
  <c r="AP40" i="13"/>
  <c r="AO40" i="13"/>
  <c r="AN40" i="13"/>
  <c r="AM40" i="13"/>
  <c r="AL40" i="13"/>
  <c r="AK40" i="13"/>
  <c r="AJ40" i="13"/>
  <c r="AH40" i="13"/>
  <c r="D40" i="13"/>
  <c r="AW39" i="13"/>
  <c r="AV39" i="13"/>
  <c r="AU39" i="13"/>
  <c r="AR39" i="13"/>
  <c r="AQ39" i="13"/>
  <c r="AP39" i="13"/>
  <c r="AO39" i="13"/>
  <c r="AN39" i="13"/>
  <c r="AM39" i="13"/>
  <c r="AL39" i="13"/>
  <c r="AK39" i="13"/>
  <c r="AJ39" i="13"/>
  <c r="AH39" i="13"/>
  <c r="D39" i="13"/>
  <c r="AW38" i="13"/>
  <c r="AV38" i="13"/>
  <c r="AS39" i="16" s="1"/>
  <c r="AU38" i="13"/>
  <c r="AR38" i="16" s="1"/>
  <c r="AR38" i="13"/>
  <c r="AQ38" i="13"/>
  <c r="AP38" i="13"/>
  <c r="AO38" i="13"/>
  <c r="AN38" i="13"/>
  <c r="AM38" i="13"/>
  <c r="AL38" i="13"/>
  <c r="AK38" i="13"/>
  <c r="AJ38" i="13"/>
  <c r="AH38" i="13"/>
  <c r="D38" i="13"/>
  <c r="AW37" i="13"/>
  <c r="AV37" i="13"/>
  <c r="AU37" i="13"/>
  <c r="AR37" i="13"/>
  <c r="AQ37" i="13"/>
  <c r="AP37" i="13"/>
  <c r="AO37" i="13"/>
  <c r="AN37" i="13"/>
  <c r="AM37" i="13"/>
  <c r="AL37" i="13"/>
  <c r="AK37" i="13"/>
  <c r="AJ37" i="13"/>
  <c r="AH37" i="13"/>
  <c r="D37" i="13"/>
  <c r="AW36" i="13"/>
  <c r="AV36" i="13"/>
  <c r="AU36" i="13"/>
  <c r="AR36" i="16" s="1"/>
  <c r="AR36" i="13"/>
  <c r="AQ36" i="13"/>
  <c r="AP36" i="13"/>
  <c r="AO36" i="13"/>
  <c r="AN36" i="13"/>
  <c r="AM36" i="13"/>
  <c r="AL36" i="13"/>
  <c r="AK36" i="13"/>
  <c r="AJ36" i="13"/>
  <c r="AH36" i="13"/>
  <c r="D36" i="13"/>
  <c r="AW35" i="13"/>
  <c r="AV35" i="13"/>
  <c r="AU35" i="13"/>
  <c r="AR35" i="13"/>
  <c r="AQ35" i="13"/>
  <c r="AP35" i="13"/>
  <c r="AO35" i="13"/>
  <c r="AN35" i="13"/>
  <c r="AM35" i="13"/>
  <c r="AL35" i="13"/>
  <c r="AK35" i="13"/>
  <c r="AJ35" i="13"/>
  <c r="AH35" i="13"/>
  <c r="D35" i="13"/>
  <c r="AW34" i="13"/>
  <c r="AV34" i="13"/>
  <c r="AU34" i="13"/>
  <c r="AR34" i="13"/>
  <c r="AQ34" i="13"/>
  <c r="AP34" i="13"/>
  <c r="AO34" i="13"/>
  <c r="AN34" i="13"/>
  <c r="AM34" i="13"/>
  <c r="AL34" i="13"/>
  <c r="AK34" i="13"/>
  <c r="AJ34" i="13"/>
  <c r="AH34" i="13"/>
  <c r="D34" i="13"/>
  <c r="AW33" i="13"/>
  <c r="AV33" i="13"/>
  <c r="AU33" i="13"/>
  <c r="AR33" i="13"/>
  <c r="AQ33" i="13"/>
  <c r="AP33" i="13"/>
  <c r="AO33" i="13"/>
  <c r="AN33" i="13"/>
  <c r="AM33" i="13"/>
  <c r="AL33" i="13"/>
  <c r="AK33" i="13"/>
  <c r="AJ33" i="13"/>
  <c r="AH33" i="13"/>
  <c r="D33" i="13"/>
  <c r="AW32" i="13"/>
  <c r="AV32" i="13"/>
  <c r="AU32" i="13"/>
  <c r="AR32" i="16" s="1"/>
  <c r="AR32" i="13"/>
  <c r="AQ32" i="13"/>
  <c r="AP32" i="13"/>
  <c r="AO32" i="13"/>
  <c r="AN32" i="13"/>
  <c r="AM32" i="13"/>
  <c r="AL32" i="13"/>
  <c r="AK32" i="13"/>
  <c r="AJ32" i="13"/>
  <c r="D32" i="13"/>
  <c r="AW31" i="13"/>
  <c r="AV31" i="13"/>
  <c r="AU31" i="13"/>
  <c r="AR31" i="13"/>
  <c r="AQ31" i="13"/>
  <c r="AP31" i="13"/>
  <c r="AO31" i="13"/>
  <c r="AN31" i="13"/>
  <c r="AM31" i="13"/>
  <c r="AL31" i="13"/>
  <c r="AK31" i="13"/>
  <c r="AJ31" i="13"/>
  <c r="AH31" i="13"/>
  <c r="D32" i="16" s="1"/>
  <c r="AX32" i="16" s="1"/>
  <c r="D31" i="13"/>
  <c r="AW30" i="13"/>
  <c r="AV30" i="13"/>
  <c r="AS30" i="16" s="1"/>
  <c r="AU30" i="13"/>
  <c r="AR30" i="16" s="1"/>
  <c r="AR30" i="13"/>
  <c r="AQ30" i="13"/>
  <c r="AP30" i="13"/>
  <c r="AO30" i="13"/>
  <c r="AN30" i="13"/>
  <c r="AM30" i="13"/>
  <c r="AL30" i="13"/>
  <c r="AK30" i="13"/>
  <c r="AJ30" i="13"/>
  <c r="AH30" i="13"/>
  <c r="D30" i="13"/>
  <c r="AW29" i="13"/>
  <c r="AU29" i="13"/>
  <c r="AR29" i="13"/>
  <c r="AQ29" i="13"/>
  <c r="AP29" i="13"/>
  <c r="AO29" i="13"/>
  <c r="AN29" i="13"/>
  <c r="AM29" i="13"/>
  <c r="AL29" i="13"/>
  <c r="AK29" i="13"/>
  <c r="AJ29" i="13"/>
  <c r="AH29" i="13"/>
  <c r="D29" i="13"/>
  <c r="AW28" i="13"/>
  <c r="AV28" i="13"/>
  <c r="AS29" i="16" s="1"/>
  <c r="AU28" i="13"/>
  <c r="AR28" i="16" s="1"/>
  <c r="AR28" i="13"/>
  <c r="AQ28" i="13"/>
  <c r="AP28" i="13"/>
  <c r="AO28" i="13"/>
  <c r="AN28" i="13"/>
  <c r="AM28" i="13"/>
  <c r="AL28" i="13"/>
  <c r="AK28" i="13"/>
  <c r="AJ28" i="13"/>
  <c r="AH28" i="13"/>
  <c r="D28" i="13"/>
  <c r="AW27" i="13"/>
  <c r="AV27" i="13"/>
  <c r="AU27" i="13"/>
  <c r="AR27" i="13"/>
  <c r="AQ27" i="13"/>
  <c r="AP27" i="13"/>
  <c r="AO27" i="13"/>
  <c r="AN27" i="13"/>
  <c r="AM27" i="13"/>
  <c r="AL27" i="13"/>
  <c r="AK27" i="13"/>
  <c r="AJ27" i="13"/>
  <c r="AH27" i="13"/>
  <c r="D27" i="13"/>
  <c r="AW26" i="13"/>
  <c r="AV26" i="13"/>
  <c r="AU26" i="13"/>
  <c r="AR26" i="16" s="1"/>
  <c r="AR26" i="13"/>
  <c r="AQ26" i="13"/>
  <c r="AP26" i="13"/>
  <c r="AO26" i="13"/>
  <c r="AN26" i="13"/>
  <c r="AM26" i="13"/>
  <c r="AL26" i="13"/>
  <c r="AK26" i="13"/>
  <c r="AJ26" i="13"/>
  <c r="AH26" i="13"/>
  <c r="D26" i="13"/>
  <c r="AW25" i="13"/>
  <c r="AV25" i="13"/>
  <c r="AU25" i="13"/>
  <c r="AR25" i="13"/>
  <c r="AQ25" i="13"/>
  <c r="AP25" i="13"/>
  <c r="AO25" i="13"/>
  <c r="AN25" i="13"/>
  <c r="AM25" i="13"/>
  <c r="AL25" i="13"/>
  <c r="AK25" i="13"/>
  <c r="AJ25" i="13"/>
  <c r="AH25" i="13"/>
  <c r="D25" i="13"/>
  <c r="AW24" i="13"/>
  <c r="AV24" i="13"/>
  <c r="AU24" i="13"/>
  <c r="AR24" i="16" s="1"/>
  <c r="AR24" i="13"/>
  <c r="AQ24" i="13"/>
  <c r="AP24" i="13"/>
  <c r="AO24" i="13"/>
  <c r="AN24" i="13"/>
  <c r="AM24" i="13"/>
  <c r="AL24" i="13"/>
  <c r="AK24" i="13"/>
  <c r="AJ24" i="13"/>
  <c r="AH24" i="13"/>
  <c r="D24" i="13"/>
  <c r="AW23" i="13"/>
  <c r="AV23" i="13"/>
  <c r="AU23" i="13"/>
  <c r="AR23" i="13"/>
  <c r="AQ23" i="13"/>
  <c r="AP23" i="13"/>
  <c r="AO23" i="13"/>
  <c r="AN23" i="13"/>
  <c r="AM23" i="13"/>
  <c r="AL23" i="13"/>
  <c r="AK23" i="13"/>
  <c r="AJ23" i="13"/>
  <c r="AH23" i="13"/>
  <c r="D23" i="13"/>
  <c r="AW22" i="13"/>
  <c r="AV22" i="13"/>
  <c r="AU22" i="13"/>
  <c r="AR22" i="16" s="1"/>
  <c r="AR22" i="13"/>
  <c r="AQ22" i="13"/>
  <c r="AP22" i="13"/>
  <c r="AO22" i="13"/>
  <c r="AN22" i="13"/>
  <c r="AM22" i="13"/>
  <c r="AL22" i="13"/>
  <c r="AK22" i="13"/>
  <c r="AJ22" i="13"/>
  <c r="AH22" i="13"/>
  <c r="D22" i="13"/>
  <c r="AW21" i="13"/>
  <c r="AV21" i="13"/>
  <c r="AU21" i="13"/>
  <c r="AR21" i="13"/>
  <c r="AQ21" i="13"/>
  <c r="AP21" i="13"/>
  <c r="AO21" i="13"/>
  <c r="AN21" i="13"/>
  <c r="AM21" i="13"/>
  <c r="AL21" i="13"/>
  <c r="AK21" i="13"/>
  <c r="AJ21" i="13"/>
  <c r="AH21" i="13"/>
  <c r="D21" i="13"/>
  <c r="AW20" i="13"/>
  <c r="AV20" i="13"/>
  <c r="AU20" i="13"/>
  <c r="AR20" i="16" s="1"/>
  <c r="AR20" i="13"/>
  <c r="AQ20" i="13"/>
  <c r="AP20" i="13"/>
  <c r="AO20" i="13"/>
  <c r="AN20" i="13"/>
  <c r="AM20" i="13"/>
  <c r="AL20" i="13"/>
  <c r="AK20" i="13"/>
  <c r="AJ20" i="13"/>
  <c r="AH20" i="13"/>
  <c r="D20" i="13"/>
  <c r="AW19" i="13"/>
  <c r="AV19" i="13"/>
  <c r="AU19" i="13"/>
  <c r="AR19" i="13"/>
  <c r="AQ19" i="13"/>
  <c r="AP19" i="13"/>
  <c r="AO19" i="13"/>
  <c r="AN19" i="13"/>
  <c r="AM19" i="13"/>
  <c r="AL19" i="13"/>
  <c r="AK19" i="13"/>
  <c r="AJ19" i="13"/>
  <c r="AH19" i="13"/>
  <c r="D19" i="13"/>
  <c r="AW18" i="13"/>
  <c r="AV18" i="13"/>
  <c r="AR18" i="13"/>
  <c r="AQ18" i="13"/>
  <c r="AP18" i="13"/>
  <c r="AO18" i="13"/>
  <c r="AN18" i="13"/>
  <c r="AM18" i="13"/>
  <c r="AL18" i="13"/>
  <c r="AK18" i="13"/>
  <c r="AJ18" i="13"/>
  <c r="AH18" i="13"/>
  <c r="BC18" i="13" s="1"/>
  <c r="D18" i="13"/>
  <c r="AW17" i="13"/>
  <c r="AV17" i="13"/>
  <c r="AS17" i="16" s="1"/>
  <c r="AR17" i="13"/>
  <c r="AQ17" i="13"/>
  <c r="AP17" i="13"/>
  <c r="AO17" i="13"/>
  <c r="AN17" i="13"/>
  <c r="AM17" i="13"/>
  <c r="AL17" i="13"/>
  <c r="AK17" i="13"/>
  <c r="AJ17" i="13"/>
  <c r="AH17" i="13"/>
  <c r="D17" i="13"/>
  <c r="AW16" i="13"/>
  <c r="AV16" i="13"/>
  <c r="AS16" i="16" s="1"/>
  <c r="AR16" i="13"/>
  <c r="AQ16" i="13"/>
  <c r="AP16" i="13"/>
  <c r="AO16" i="13"/>
  <c r="AN16" i="13"/>
  <c r="AM16" i="13"/>
  <c r="AL16" i="13"/>
  <c r="AK16" i="13"/>
  <c r="AJ16" i="13"/>
  <c r="AH16" i="13"/>
  <c r="D16" i="13"/>
  <c r="AW15" i="13"/>
  <c r="AV15" i="13"/>
  <c r="AR15" i="13"/>
  <c r="AQ15" i="13"/>
  <c r="AP15" i="13"/>
  <c r="AO15" i="13"/>
  <c r="AN15" i="13"/>
  <c r="AM15" i="13"/>
  <c r="AL15" i="13"/>
  <c r="AK15" i="13"/>
  <c r="AJ15" i="13"/>
  <c r="AH15" i="13"/>
  <c r="D15" i="13"/>
  <c r="AW14" i="13"/>
  <c r="AV14" i="13"/>
  <c r="AR14" i="13"/>
  <c r="AQ14" i="13"/>
  <c r="AP14" i="13"/>
  <c r="AO14" i="13"/>
  <c r="AN14" i="13"/>
  <c r="AM14" i="13"/>
  <c r="AL14" i="13"/>
  <c r="AK14" i="13"/>
  <c r="AJ14" i="13"/>
  <c r="AH14" i="13"/>
  <c r="D14" i="13"/>
  <c r="AW13" i="13"/>
  <c r="AV13" i="13"/>
  <c r="AR13" i="13"/>
  <c r="AQ13" i="13"/>
  <c r="AP13" i="13"/>
  <c r="AO13" i="13"/>
  <c r="AN13" i="13"/>
  <c r="AM13" i="13"/>
  <c r="AL13" i="13"/>
  <c r="AK13" i="13"/>
  <c r="AJ13" i="13"/>
  <c r="AH13" i="13"/>
  <c r="D13" i="13"/>
  <c r="AW12" i="13"/>
  <c r="AV12" i="13"/>
  <c r="AS12" i="16" s="1"/>
  <c r="AR12" i="13"/>
  <c r="AQ12" i="13"/>
  <c r="AP12" i="13"/>
  <c r="AO12" i="13"/>
  <c r="AN12" i="13"/>
  <c r="AM12" i="13"/>
  <c r="AL12" i="13"/>
  <c r="AK12" i="13"/>
  <c r="AJ12" i="13"/>
  <c r="AH12" i="13"/>
  <c r="D12" i="13"/>
  <c r="AW11" i="13"/>
  <c r="AR11" i="13"/>
  <c r="AQ11" i="13"/>
  <c r="AP11" i="13"/>
  <c r="AO11" i="13"/>
  <c r="AN11" i="13"/>
  <c r="AM11" i="13"/>
  <c r="AL11" i="13"/>
  <c r="AK11" i="13"/>
  <c r="AJ11" i="13"/>
  <c r="AH11" i="13"/>
  <c r="D11" i="13"/>
  <c r="AW10" i="13"/>
  <c r="AV10" i="13"/>
  <c r="AS11" i="16" s="1"/>
  <c r="AR10" i="13"/>
  <c r="AQ10" i="13"/>
  <c r="AP10" i="13"/>
  <c r="AO10" i="13"/>
  <c r="AN10" i="13"/>
  <c r="AM10" i="13"/>
  <c r="AL10" i="13"/>
  <c r="AK10" i="13"/>
  <c r="AJ10" i="13"/>
  <c r="AH10" i="13"/>
  <c r="BC10" i="13" s="1"/>
  <c r="D10" i="13"/>
  <c r="AW9" i="13"/>
  <c r="AV9" i="13"/>
  <c r="AR9" i="13"/>
  <c r="AQ9" i="13"/>
  <c r="AP9" i="13"/>
  <c r="AO9" i="13"/>
  <c r="AN9" i="13"/>
  <c r="AM9" i="13"/>
  <c r="AL9" i="13"/>
  <c r="AK9" i="13"/>
  <c r="AJ9" i="13"/>
  <c r="AH9" i="13"/>
  <c r="D9" i="13"/>
  <c r="AW8" i="13"/>
  <c r="AV8" i="13"/>
  <c r="AS8" i="16" s="1"/>
  <c r="AU8" i="13"/>
  <c r="AR8" i="16" s="1"/>
  <c r="AR8" i="13"/>
  <c r="AQ8" i="13"/>
  <c r="AP8" i="13"/>
  <c r="AO8" i="13"/>
  <c r="AN8" i="13"/>
  <c r="AM8" i="13"/>
  <c r="AL8" i="13"/>
  <c r="AK8" i="13"/>
  <c r="AJ8" i="13"/>
  <c r="AH8" i="13"/>
  <c r="D8" i="13"/>
  <c r="AW7" i="13"/>
  <c r="AU7" i="13"/>
  <c r="AR7" i="13"/>
  <c r="AQ7" i="13"/>
  <c r="AP7" i="13"/>
  <c r="AO7" i="13"/>
  <c r="AN7" i="13"/>
  <c r="AM7" i="13"/>
  <c r="AL7" i="13"/>
  <c r="AK7" i="13"/>
  <c r="AJ7" i="13"/>
  <c r="AH7" i="13"/>
  <c r="D7" i="13"/>
  <c r="AW6" i="13"/>
  <c r="AV6" i="13"/>
  <c r="AU6" i="13"/>
  <c r="AR6" i="13"/>
  <c r="AQ6" i="13"/>
  <c r="AP6" i="13"/>
  <c r="AO6" i="13"/>
  <c r="AN6" i="13"/>
  <c r="AM6" i="13"/>
  <c r="AL6" i="13"/>
  <c r="AK6" i="13"/>
  <c r="AJ6" i="13"/>
  <c r="AH6" i="13"/>
  <c r="D6" i="13"/>
  <c r="AW5" i="13"/>
  <c r="AV5" i="13"/>
  <c r="AS5" i="16" s="1"/>
  <c r="AU5" i="13"/>
  <c r="AR5" i="13"/>
  <c r="AQ5" i="13"/>
  <c r="AP5" i="13"/>
  <c r="AO5" i="13"/>
  <c r="AN5" i="13"/>
  <c r="AM5" i="13"/>
  <c r="AL5" i="13"/>
  <c r="AK5" i="13"/>
  <c r="AJ5" i="13"/>
  <c r="AH5" i="13"/>
  <c r="D5" i="13"/>
  <c r="AW4" i="13"/>
  <c r="AV4" i="13"/>
  <c r="AS4" i="16" s="1"/>
  <c r="AU4" i="13"/>
  <c r="AR4" i="13"/>
  <c r="AQ4" i="13"/>
  <c r="AP4" i="13"/>
  <c r="AO4" i="13"/>
  <c r="AN4" i="13"/>
  <c r="AM4" i="13"/>
  <c r="AL4" i="13"/>
  <c r="AK4" i="13"/>
  <c r="AJ4" i="13"/>
  <c r="AH4" i="13"/>
  <c r="D4" i="13"/>
  <c r="AW3" i="13"/>
  <c r="AS3" i="16"/>
  <c r="AU3" i="13"/>
  <c r="AR3" i="16" s="1"/>
  <c r="AR3" i="13"/>
  <c r="AQ3" i="13"/>
  <c r="AP3" i="13"/>
  <c r="AO3" i="13"/>
  <c r="AN3" i="13"/>
  <c r="AM3" i="13"/>
  <c r="AL3" i="13"/>
  <c r="AK3" i="13"/>
  <c r="AJ3" i="13"/>
  <c r="AH3" i="13"/>
  <c r="D3" i="13"/>
  <c r="D95" i="13" s="1"/>
  <c r="AM94" i="4"/>
  <c r="AL94" i="4"/>
  <c r="AK94" i="4"/>
  <c r="AJ94" i="4"/>
  <c r="AI94" i="4"/>
  <c r="AH94" i="4"/>
  <c r="AG94" i="4"/>
  <c r="AF94" i="4"/>
  <c r="AE94" i="4"/>
  <c r="AC94" i="4"/>
  <c r="AB94" i="4"/>
  <c r="AM93" i="4"/>
  <c r="AL93" i="4"/>
  <c r="AK93" i="4"/>
  <c r="AJ93" i="4"/>
  <c r="AI93" i="4"/>
  <c r="AH93" i="4"/>
  <c r="AG93" i="4"/>
  <c r="AF93" i="4"/>
  <c r="AE93" i="4"/>
  <c r="AC93" i="4"/>
  <c r="AB93" i="4"/>
  <c r="AM92" i="4"/>
  <c r="AL92" i="4"/>
  <c r="AK92" i="4"/>
  <c r="AJ92" i="4"/>
  <c r="AI92" i="4"/>
  <c r="AH92" i="4"/>
  <c r="AG92" i="4"/>
  <c r="AF92" i="4"/>
  <c r="AE92" i="4"/>
  <c r="AC92" i="4"/>
  <c r="AB92" i="4"/>
  <c r="AM91" i="4"/>
  <c r="AL91" i="4"/>
  <c r="AK91" i="4"/>
  <c r="AJ91" i="4"/>
  <c r="AI91" i="4"/>
  <c r="AH91" i="4"/>
  <c r="AG91" i="4"/>
  <c r="AF91" i="4"/>
  <c r="AE91" i="4"/>
  <c r="AC91" i="4"/>
  <c r="AB91" i="4"/>
  <c r="AM90" i="4"/>
  <c r="AL90" i="4"/>
  <c r="AK90" i="4"/>
  <c r="AJ90" i="4"/>
  <c r="AI90" i="4"/>
  <c r="AH90" i="4"/>
  <c r="AG90" i="4"/>
  <c r="AF90" i="4"/>
  <c r="AE90" i="4"/>
  <c r="AC90" i="4"/>
  <c r="AB90" i="4"/>
  <c r="AM89" i="4"/>
  <c r="AL89" i="4"/>
  <c r="AK89" i="4"/>
  <c r="AJ89" i="4"/>
  <c r="AI89" i="4"/>
  <c r="AH89" i="4"/>
  <c r="AG89" i="4"/>
  <c r="AF89" i="4"/>
  <c r="AE89" i="4"/>
  <c r="AC89" i="4"/>
  <c r="AB89" i="4"/>
  <c r="AM88" i="4"/>
  <c r="AL88" i="4"/>
  <c r="AK88" i="4"/>
  <c r="AJ88" i="4"/>
  <c r="AI88" i="4"/>
  <c r="AH88" i="4"/>
  <c r="AG88" i="4"/>
  <c r="AF88" i="4"/>
  <c r="AE88" i="4"/>
  <c r="AC88" i="4"/>
  <c r="AB88" i="4"/>
  <c r="AM87" i="4"/>
  <c r="AL87" i="4"/>
  <c r="AK87" i="4"/>
  <c r="AJ87" i="4"/>
  <c r="AI87" i="4"/>
  <c r="AH87" i="4"/>
  <c r="AG87" i="4"/>
  <c r="AF87" i="4"/>
  <c r="AE87" i="4"/>
  <c r="AC87" i="4"/>
  <c r="AB87" i="4"/>
  <c r="AM86" i="4"/>
  <c r="AL86" i="4"/>
  <c r="AK86" i="4"/>
  <c r="AJ86" i="4"/>
  <c r="AI86" i="4"/>
  <c r="AH86" i="4"/>
  <c r="AG86" i="4"/>
  <c r="AF86" i="4"/>
  <c r="AE86" i="4"/>
  <c r="AC86" i="4"/>
  <c r="AB86" i="4"/>
  <c r="AM85" i="4"/>
  <c r="AL85" i="4"/>
  <c r="AK85" i="4"/>
  <c r="AJ85" i="4"/>
  <c r="AI85" i="4"/>
  <c r="AH85" i="4"/>
  <c r="AG85" i="4"/>
  <c r="AF85" i="4"/>
  <c r="AE85" i="4"/>
  <c r="AC85" i="4"/>
  <c r="AB85" i="4"/>
  <c r="AM84" i="4"/>
  <c r="AL84" i="4"/>
  <c r="AK84" i="4"/>
  <c r="AJ84" i="4"/>
  <c r="AI84" i="4"/>
  <c r="AH84" i="4"/>
  <c r="AG84" i="4"/>
  <c r="AF84" i="4"/>
  <c r="AE84" i="4"/>
  <c r="AC84" i="4"/>
  <c r="AB84" i="4"/>
  <c r="AM83" i="4"/>
  <c r="AL83" i="4"/>
  <c r="AK83" i="4"/>
  <c r="AJ83" i="4"/>
  <c r="AI83" i="4"/>
  <c r="AH83" i="4"/>
  <c r="AG83" i="4"/>
  <c r="AF83" i="4"/>
  <c r="AE83" i="4"/>
  <c r="AC83" i="4"/>
  <c r="AB83" i="4"/>
  <c r="AM82" i="4"/>
  <c r="AL82" i="4"/>
  <c r="AK82" i="4"/>
  <c r="AJ82" i="4"/>
  <c r="AI82" i="4"/>
  <c r="AH82" i="4"/>
  <c r="AG82" i="4"/>
  <c r="AF82" i="4"/>
  <c r="AE82" i="4"/>
  <c r="AC82" i="4"/>
  <c r="AB82" i="4"/>
  <c r="AM81" i="4"/>
  <c r="AL81" i="4"/>
  <c r="AK81" i="4"/>
  <c r="AJ81" i="4"/>
  <c r="AI81" i="4"/>
  <c r="AH81" i="4"/>
  <c r="AG81" i="4"/>
  <c r="AF81" i="4"/>
  <c r="AE81" i="4"/>
  <c r="AC81" i="4"/>
  <c r="AB81" i="4"/>
  <c r="AM80" i="4"/>
  <c r="AL80" i="4"/>
  <c r="AK80" i="4"/>
  <c r="AJ80" i="4"/>
  <c r="AI80" i="4"/>
  <c r="AH80" i="4"/>
  <c r="AG80" i="4"/>
  <c r="AF80" i="4"/>
  <c r="AE80" i="4"/>
  <c r="AC80" i="4"/>
  <c r="AB80" i="4"/>
  <c r="AM79" i="4"/>
  <c r="AL79" i="4"/>
  <c r="AK79" i="4"/>
  <c r="AJ79" i="4"/>
  <c r="AI79" i="4"/>
  <c r="AH79" i="4"/>
  <c r="AG79" i="4"/>
  <c r="AF79" i="4"/>
  <c r="AE79" i="4"/>
  <c r="AC79" i="4"/>
  <c r="AB79" i="4"/>
  <c r="AM78" i="4"/>
  <c r="AL78" i="4"/>
  <c r="AK78" i="4"/>
  <c r="AJ78" i="4"/>
  <c r="AI78" i="4"/>
  <c r="AH78" i="4"/>
  <c r="AG78" i="4"/>
  <c r="AF78" i="4"/>
  <c r="AE78" i="4"/>
  <c r="AC78" i="4"/>
  <c r="AB78" i="4"/>
  <c r="AM77" i="4"/>
  <c r="AL77" i="4"/>
  <c r="AK77" i="4"/>
  <c r="AJ77" i="4"/>
  <c r="AI77" i="4"/>
  <c r="AH77" i="4"/>
  <c r="AG77" i="4"/>
  <c r="AF77" i="4"/>
  <c r="AE77" i="4"/>
  <c r="AC77" i="4"/>
  <c r="AB77" i="4"/>
  <c r="AM76" i="4"/>
  <c r="AL76" i="4"/>
  <c r="AK76" i="4"/>
  <c r="AJ76" i="4"/>
  <c r="AI76" i="4"/>
  <c r="AH76" i="4"/>
  <c r="AG76" i="4"/>
  <c r="AF76" i="4"/>
  <c r="AE76" i="4"/>
  <c r="AC76" i="4"/>
  <c r="AB76" i="4"/>
  <c r="AM75" i="4"/>
  <c r="AL75" i="4"/>
  <c r="AK75" i="4"/>
  <c r="AJ75" i="4"/>
  <c r="AI75" i="4"/>
  <c r="AH75" i="4"/>
  <c r="AG75" i="4"/>
  <c r="AF75" i="4"/>
  <c r="AE75" i="4"/>
  <c r="AC75" i="4"/>
  <c r="AB75" i="4"/>
  <c r="AM74" i="4"/>
  <c r="AL74" i="4"/>
  <c r="AK74" i="4"/>
  <c r="AJ74" i="4"/>
  <c r="AI74" i="4"/>
  <c r="AH74" i="4"/>
  <c r="AG74" i="4"/>
  <c r="AF74" i="4"/>
  <c r="AE74" i="4"/>
  <c r="AC74" i="4"/>
  <c r="AB74" i="4"/>
  <c r="AM73" i="4"/>
  <c r="AL73" i="4"/>
  <c r="AK73" i="4"/>
  <c r="AJ73" i="4"/>
  <c r="AI73" i="4"/>
  <c r="AH73" i="4"/>
  <c r="AG73" i="4"/>
  <c r="AF73" i="4"/>
  <c r="AE73" i="4"/>
  <c r="AC73" i="4"/>
  <c r="AB73" i="4"/>
  <c r="AM72" i="4"/>
  <c r="AL72" i="4"/>
  <c r="AK72" i="4"/>
  <c r="AJ72" i="4"/>
  <c r="AI72" i="4"/>
  <c r="AH72" i="4"/>
  <c r="AG72" i="4"/>
  <c r="AF72" i="4"/>
  <c r="AE72" i="4"/>
  <c r="AC72" i="4"/>
  <c r="AB72" i="4"/>
  <c r="AM71" i="4"/>
  <c r="AL71" i="4"/>
  <c r="AK71" i="4"/>
  <c r="AJ71" i="4"/>
  <c r="AI71" i="4"/>
  <c r="AH71" i="4"/>
  <c r="AG71" i="4"/>
  <c r="AF71" i="4"/>
  <c r="AE71" i="4"/>
  <c r="AC71" i="4"/>
  <c r="AB71" i="4"/>
  <c r="AM70" i="4"/>
  <c r="AL70" i="4"/>
  <c r="AK70" i="4"/>
  <c r="AJ70" i="4"/>
  <c r="AI70" i="4"/>
  <c r="AH70" i="4"/>
  <c r="AG70" i="4"/>
  <c r="AF70" i="4"/>
  <c r="AE70" i="4"/>
  <c r="AC70" i="4"/>
  <c r="AB70" i="4"/>
  <c r="AM69" i="4"/>
  <c r="AL69" i="4"/>
  <c r="AK69" i="4"/>
  <c r="AJ69" i="4"/>
  <c r="AI69" i="4"/>
  <c r="AH69" i="4"/>
  <c r="AG69" i="4"/>
  <c r="AF69" i="4"/>
  <c r="AE69" i="4"/>
  <c r="AC69" i="4"/>
  <c r="AB69" i="4"/>
  <c r="AM68" i="4"/>
  <c r="AL68" i="4"/>
  <c r="AK68" i="4"/>
  <c r="AJ68" i="4"/>
  <c r="AI68" i="4"/>
  <c r="AH68" i="4"/>
  <c r="AG68" i="4"/>
  <c r="AF68" i="4"/>
  <c r="AE68" i="4"/>
  <c r="AC68" i="4"/>
  <c r="AB68" i="4"/>
  <c r="AM67" i="4"/>
  <c r="AL67" i="4"/>
  <c r="AK67" i="4"/>
  <c r="AJ67" i="4"/>
  <c r="AI67" i="4"/>
  <c r="AH67" i="4"/>
  <c r="AG67" i="4"/>
  <c r="AF67" i="4"/>
  <c r="AE67" i="4"/>
  <c r="AC67" i="4"/>
  <c r="AB67" i="4"/>
  <c r="AM66" i="4"/>
  <c r="AL66" i="4"/>
  <c r="AK66" i="4"/>
  <c r="AJ66" i="4"/>
  <c r="AI66" i="4"/>
  <c r="AH66" i="4"/>
  <c r="AG66" i="4"/>
  <c r="AF66" i="4"/>
  <c r="AE66" i="4"/>
  <c r="AC66" i="4"/>
  <c r="AB66" i="4"/>
  <c r="AM65" i="4"/>
  <c r="AL65" i="4"/>
  <c r="AK65" i="4"/>
  <c r="AJ65" i="4"/>
  <c r="AI65" i="4"/>
  <c r="AH65" i="4"/>
  <c r="AG65" i="4"/>
  <c r="AF65" i="4"/>
  <c r="AE65" i="4"/>
  <c r="AC65" i="4"/>
  <c r="AB65" i="4"/>
  <c r="AM64" i="4"/>
  <c r="AL64" i="4"/>
  <c r="AK64" i="4"/>
  <c r="AJ64" i="4"/>
  <c r="AI64" i="4"/>
  <c r="AH64" i="4"/>
  <c r="AG64" i="4"/>
  <c r="AF64" i="4"/>
  <c r="AE64" i="4"/>
  <c r="AC64" i="4"/>
  <c r="AB64" i="4"/>
  <c r="AM63" i="4"/>
  <c r="AL63" i="4"/>
  <c r="AK63" i="4"/>
  <c r="AJ63" i="4"/>
  <c r="AI63" i="4"/>
  <c r="AH63" i="4"/>
  <c r="AG63" i="4"/>
  <c r="AF63" i="4"/>
  <c r="AE63" i="4"/>
  <c r="AC63" i="4"/>
  <c r="AB63" i="4"/>
  <c r="AM62" i="4"/>
  <c r="AL62" i="4"/>
  <c r="AK62" i="4"/>
  <c r="AJ62" i="4"/>
  <c r="AI62" i="4"/>
  <c r="AH62" i="4"/>
  <c r="AG62" i="4"/>
  <c r="AF62" i="4"/>
  <c r="AE62" i="4"/>
  <c r="AC62" i="4"/>
  <c r="AB62" i="4"/>
  <c r="AM61" i="4"/>
  <c r="AL61" i="4"/>
  <c r="AK61" i="4"/>
  <c r="AJ61" i="4"/>
  <c r="AI61" i="4"/>
  <c r="AH61" i="4"/>
  <c r="AG61" i="4"/>
  <c r="AF61" i="4"/>
  <c r="AE61" i="4"/>
  <c r="AC61" i="4"/>
  <c r="AB61" i="4"/>
  <c r="AM60" i="4"/>
  <c r="AL60" i="4"/>
  <c r="AK60" i="4"/>
  <c r="AJ60" i="4"/>
  <c r="AI60" i="4"/>
  <c r="AH60" i="4"/>
  <c r="AG60" i="4"/>
  <c r="AF60" i="4"/>
  <c r="AE60" i="4"/>
  <c r="AC60" i="4"/>
  <c r="AB60" i="4"/>
  <c r="AM59" i="4"/>
  <c r="AL59" i="4"/>
  <c r="AK59" i="4"/>
  <c r="AJ59" i="4"/>
  <c r="AI59" i="4"/>
  <c r="AH59" i="4"/>
  <c r="AG59" i="4"/>
  <c r="AF59" i="4"/>
  <c r="AE59" i="4"/>
  <c r="AC59" i="4"/>
  <c r="AB59" i="4"/>
  <c r="AM58" i="4"/>
  <c r="AL58" i="4"/>
  <c r="AK58" i="4"/>
  <c r="AJ58" i="4"/>
  <c r="AI58" i="4"/>
  <c r="AH58" i="4"/>
  <c r="AG58" i="4"/>
  <c r="AF58" i="4"/>
  <c r="AE58" i="4"/>
  <c r="AC58" i="4"/>
  <c r="AB58" i="4"/>
  <c r="AM57" i="4"/>
  <c r="AL57" i="4"/>
  <c r="AK57" i="4"/>
  <c r="AJ57" i="4"/>
  <c r="AI57" i="4"/>
  <c r="AH57" i="4"/>
  <c r="AG57" i="4"/>
  <c r="AF57" i="4"/>
  <c r="AE57" i="4"/>
  <c r="AC57" i="4"/>
  <c r="AB57" i="4"/>
  <c r="AM56" i="4"/>
  <c r="AL56" i="4"/>
  <c r="AK56" i="4"/>
  <c r="AJ56" i="4"/>
  <c r="AI56" i="4"/>
  <c r="AH56" i="4"/>
  <c r="AG56" i="4"/>
  <c r="AF56" i="4"/>
  <c r="AE56" i="4"/>
  <c r="AC56" i="4"/>
  <c r="AB56" i="4"/>
  <c r="AM55" i="4"/>
  <c r="AL55" i="4"/>
  <c r="AK55" i="4"/>
  <c r="AJ55" i="4"/>
  <c r="AI55" i="4"/>
  <c r="AH55" i="4"/>
  <c r="AG55" i="4"/>
  <c r="AF55" i="4"/>
  <c r="AE55" i="4"/>
  <c r="AC55" i="4"/>
  <c r="AB55" i="4"/>
  <c r="AM54" i="4"/>
  <c r="AL54" i="4"/>
  <c r="AK54" i="4"/>
  <c r="AJ54" i="4"/>
  <c r="AI54" i="4"/>
  <c r="AH54" i="4"/>
  <c r="AG54" i="4"/>
  <c r="AF54" i="4"/>
  <c r="AE54" i="4"/>
  <c r="AC54" i="4"/>
  <c r="AB54" i="4"/>
  <c r="AM53" i="4"/>
  <c r="AL53" i="4"/>
  <c r="AK53" i="4"/>
  <c r="AJ53" i="4"/>
  <c r="AI53" i="4"/>
  <c r="AH53" i="4"/>
  <c r="AG53" i="4"/>
  <c r="AF53" i="4"/>
  <c r="AE53" i="4"/>
  <c r="AC53" i="4"/>
  <c r="AB53" i="4"/>
  <c r="AM52" i="4"/>
  <c r="AL52" i="4"/>
  <c r="AK52" i="4"/>
  <c r="AJ52" i="4"/>
  <c r="AI52" i="4"/>
  <c r="AH52" i="4"/>
  <c r="AG52" i="4"/>
  <c r="AF52" i="4"/>
  <c r="AE52" i="4"/>
  <c r="AC52" i="4"/>
  <c r="AB52" i="4"/>
  <c r="AM51" i="4"/>
  <c r="AL51" i="4"/>
  <c r="AK51" i="4"/>
  <c r="AJ51" i="4"/>
  <c r="AI51" i="4"/>
  <c r="AH51" i="4"/>
  <c r="AG51" i="4"/>
  <c r="AF51" i="4"/>
  <c r="AE51" i="4"/>
  <c r="AC51" i="4"/>
  <c r="AB51" i="4"/>
  <c r="AM50" i="4"/>
  <c r="AL50" i="4"/>
  <c r="AK50" i="4"/>
  <c r="AJ50" i="4"/>
  <c r="AI50" i="4"/>
  <c r="AH50" i="4"/>
  <c r="AG50" i="4"/>
  <c r="AF50" i="4"/>
  <c r="AE50" i="4"/>
  <c r="AC50" i="4"/>
  <c r="AB50" i="4"/>
  <c r="AM49" i="4"/>
  <c r="AL49" i="4"/>
  <c r="AK49" i="4"/>
  <c r="AJ49" i="4"/>
  <c r="AI49" i="4"/>
  <c r="AH49" i="4"/>
  <c r="AG49" i="4"/>
  <c r="AF49" i="4"/>
  <c r="AE49" i="4"/>
  <c r="AC49" i="4"/>
  <c r="AB49" i="4"/>
  <c r="AM48" i="4"/>
  <c r="AL48" i="4"/>
  <c r="AK48" i="4"/>
  <c r="AJ48" i="4"/>
  <c r="AI48" i="4"/>
  <c r="AH48" i="4"/>
  <c r="AG48" i="4"/>
  <c r="AF48" i="4"/>
  <c r="AE48" i="4"/>
  <c r="AC48" i="4"/>
  <c r="AB48" i="4"/>
  <c r="AM47" i="4"/>
  <c r="AL47" i="4"/>
  <c r="AK47" i="4"/>
  <c r="AJ47" i="4"/>
  <c r="AI47" i="4"/>
  <c r="AH47" i="4"/>
  <c r="AG47" i="4"/>
  <c r="AF47" i="4"/>
  <c r="AE47" i="4"/>
  <c r="AC47" i="4"/>
  <c r="AB47" i="4"/>
  <c r="AM46" i="4"/>
  <c r="AL46" i="4"/>
  <c r="AK46" i="4"/>
  <c r="AJ46" i="4"/>
  <c r="AI46" i="4"/>
  <c r="AH46" i="4"/>
  <c r="AG46" i="4"/>
  <c r="AF46" i="4"/>
  <c r="AE46" i="4"/>
  <c r="AC46" i="4"/>
  <c r="AB46" i="4"/>
  <c r="AM45" i="4"/>
  <c r="AL45" i="4"/>
  <c r="AK45" i="4"/>
  <c r="AJ45" i="4"/>
  <c r="AI45" i="4"/>
  <c r="AH45" i="4"/>
  <c r="AG45" i="4"/>
  <c r="AF45" i="4"/>
  <c r="AE45" i="4"/>
  <c r="AM44" i="4"/>
  <c r="AL44" i="4"/>
  <c r="AK44" i="4"/>
  <c r="AJ44" i="4"/>
  <c r="AI44" i="4"/>
  <c r="AH44" i="4"/>
  <c r="AG44" i="4"/>
  <c r="AF44" i="4"/>
  <c r="AE44" i="4"/>
  <c r="AC44" i="4"/>
  <c r="AB44" i="4"/>
  <c r="AM43" i="4"/>
  <c r="AL43" i="4"/>
  <c r="AK43" i="4"/>
  <c r="AJ43" i="4"/>
  <c r="AI43" i="4"/>
  <c r="AH43" i="4"/>
  <c r="AG43" i="4"/>
  <c r="AF43" i="4"/>
  <c r="AE43" i="4"/>
  <c r="AC43" i="4"/>
  <c r="AB43" i="4"/>
  <c r="AM42" i="4"/>
  <c r="AL42" i="4"/>
  <c r="AK42" i="4"/>
  <c r="AJ42" i="4"/>
  <c r="AI42" i="4"/>
  <c r="AH42" i="4"/>
  <c r="AG42" i="4"/>
  <c r="AF42" i="4"/>
  <c r="AE42" i="4"/>
  <c r="AC42" i="4"/>
  <c r="AB42" i="4"/>
  <c r="AM41" i="4"/>
  <c r="AL41" i="4"/>
  <c r="AK41" i="4"/>
  <c r="AJ41" i="4"/>
  <c r="AI41" i="4"/>
  <c r="AH41" i="4"/>
  <c r="AG41" i="4"/>
  <c r="AF41" i="4"/>
  <c r="AE41" i="4"/>
  <c r="AC41" i="4"/>
  <c r="AB41" i="4"/>
  <c r="AM40" i="4"/>
  <c r="AL40" i="4"/>
  <c r="AK40" i="4"/>
  <c r="AJ40" i="4"/>
  <c r="AI40" i="4"/>
  <c r="AH40" i="4"/>
  <c r="AG40" i="4"/>
  <c r="AF40" i="4"/>
  <c r="AE40" i="4"/>
  <c r="AC40" i="4"/>
  <c r="AB40" i="4"/>
  <c r="AM39" i="4"/>
  <c r="AL39" i="4"/>
  <c r="AK39" i="4"/>
  <c r="AJ39" i="4"/>
  <c r="AI39" i="4"/>
  <c r="AH39" i="4"/>
  <c r="AG39" i="4"/>
  <c r="AF39" i="4"/>
  <c r="AE39" i="4"/>
  <c r="AC39" i="4"/>
  <c r="AB39" i="4"/>
  <c r="AM38" i="4"/>
  <c r="AL38" i="4"/>
  <c r="AK38" i="4"/>
  <c r="AJ38" i="4"/>
  <c r="AI38" i="4"/>
  <c r="AH38" i="4"/>
  <c r="AG38" i="4"/>
  <c r="AF38" i="4"/>
  <c r="AE38" i="4"/>
  <c r="AC38" i="4"/>
  <c r="AB38" i="4"/>
  <c r="AM37" i="4"/>
  <c r="AL37" i="4"/>
  <c r="AK37" i="4"/>
  <c r="AJ37" i="4"/>
  <c r="AI37" i="4"/>
  <c r="AH37" i="4"/>
  <c r="AG37" i="4"/>
  <c r="AF37" i="4"/>
  <c r="AE37" i="4"/>
  <c r="AC37" i="4"/>
  <c r="AB37" i="4"/>
  <c r="AM36" i="4"/>
  <c r="AL36" i="4"/>
  <c r="AK36" i="4"/>
  <c r="AJ36" i="4"/>
  <c r="AI36" i="4"/>
  <c r="AH36" i="4"/>
  <c r="AG36" i="4"/>
  <c r="AF36" i="4"/>
  <c r="AE36" i="4"/>
  <c r="AC36" i="4"/>
  <c r="AB36" i="4"/>
  <c r="AM35" i="4"/>
  <c r="AL35" i="4"/>
  <c r="AK35" i="4"/>
  <c r="AJ35" i="4"/>
  <c r="AI35" i="4"/>
  <c r="AH35" i="4"/>
  <c r="AG35" i="4"/>
  <c r="AF35" i="4"/>
  <c r="AE35" i="4"/>
  <c r="AC35" i="4"/>
  <c r="AB35" i="4"/>
  <c r="AM34" i="4"/>
  <c r="AL34" i="4"/>
  <c r="AK34" i="4"/>
  <c r="AJ34" i="4"/>
  <c r="AI34" i="4"/>
  <c r="AH34" i="4"/>
  <c r="AG34" i="4"/>
  <c r="AF34" i="4"/>
  <c r="AE34" i="4"/>
  <c r="AC34" i="4"/>
  <c r="AB34" i="4"/>
  <c r="AM33" i="4"/>
  <c r="AL33" i="4"/>
  <c r="AK33" i="4"/>
  <c r="AJ33" i="4"/>
  <c r="AI33" i="4"/>
  <c r="AH33" i="4"/>
  <c r="AG33" i="4"/>
  <c r="AF33" i="4"/>
  <c r="AE33" i="4"/>
  <c r="AC33" i="4"/>
  <c r="AB33" i="4"/>
  <c r="AM32" i="4"/>
  <c r="AL32" i="4"/>
  <c r="AK32" i="4"/>
  <c r="AJ32" i="4"/>
  <c r="AI32" i="4"/>
  <c r="AH32" i="4"/>
  <c r="AG32" i="4"/>
  <c r="AF32" i="4"/>
  <c r="AE32" i="4"/>
  <c r="AC32" i="4"/>
  <c r="AB32" i="4"/>
  <c r="AM31" i="4"/>
  <c r="AL31" i="4"/>
  <c r="AK31" i="4"/>
  <c r="AJ31" i="4"/>
  <c r="AI31" i="4"/>
  <c r="AH31" i="4"/>
  <c r="AG31" i="4"/>
  <c r="AF31" i="4"/>
  <c r="AE31" i="4"/>
  <c r="AC31" i="4"/>
  <c r="AB31" i="4"/>
  <c r="AM30" i="4"/>
  <c r="AL30" i="4"/>
  <c r="AK30" i="4"/>
  <c r="AJ30" i="4"/>
  <c r="AI30" i="4"/>
  <c r="AH30" i="4"/>
  <c r="AG30" i="4"/>
  <c r="AF30" i="4"/>
  <c r="AE30" i="4"/>
  <c r="AC30" i="4"/>
  <c r="AB30" i="4"/>
  <c r="AM29" i="4"/>
  <c r="AL29" i="4"/>
  <c r="AK29" i="4"/>
  <c r="AJ29" i="4"/>
  <c r="AI29" i="4"/>
  <c r="AH29" i="4"/>
  <c r="AG29" i="4"/>
  <c r="AF29" i="4"/>
  <c r="AE29" i="4"/>
  <c r="AC29" i="4"/>
  <c r="AB29" i="4"/>
  <c r="AM28" i="4"/>
  <c r="AL28" i="4"/>
  <c r="AK28" i="4"/>
  <c r="AJ28" i="4"/>
  <c r="AI28" i="4"/>
  <c r="AH28" i="4"/>
  <c r="AG28" i="4"/>
  <c r="AF28" i="4"/>
  <c r="AE28" i="4"/>
  <c r="AC28" i="4"/>
  <c r="AB28" i="4"/>
  <c r="AM27" i="4"/>
  <c r="AL27" i="4"/>
  <c r="AK27" i="4"/>
  <c r="AJ27" i="4"/>
  <c r="AI27" i="4"/>
  <c r="AH27" i="4"/>
  <c r="AG27" i="4"/>
  <c r="AF27" i="4"/>
  <c r="AE27" i="4"/>
  <c r="AC27" i="4"/>
  <c r="AB27" i="4"/>
  <c r="AM26" i="4"/>
  <c r="AL26" i="4"/>
  <c r="AK26" i="4"/>
  <c r="AJ26" i="4"/>
  <c r="AI26" i="4"/>
  <c r="AH26" i="4"/>
  <c r="AG26" i="4"/>
  <c r="AF26" i="4"/>
  <c r="AE26" i="4"/>
  <c r="AC26" i="4"/>
  <c r="AB26" i="4"/>
  <c r="AM25" i="4"/>
  <c r="AL25" i="4"/>
  <c r="AK25" i="4"/>
  <c r="AJ25" i="4"/>
  <c r="AI25" i="4"/>
  <c r="AH25" i="4"/>
  <c r="AG25" i="4"/>
  <c r="AF25" i="4"/>
  <c r="AE25" i="4"/>
  <c r="AC25" i="4"/>
  <c r="AB25" i="4"/>
  <c r="AM24" i="4"/>
  <c r="AL24" i="4"/>
  <c r="AK24" i="4"/>
  <c r="AJ24" i="4"/>
  <c r="AI24" i="4"/>
  <c r="AH24" i="4"/>
  <c r="AG24" i="4"/>
  <c r="AF24" i="4"/>
  <c r="AE24" i="4"/>
  <c r="AC24" i="4"/>
  <c r="AB24" i="4"/>
  <c r="AM23" i="4"/>
  <c r="AL23" i="4"/>
  <c r="AK23" i="4"/>
  <c r="AJ23" i="4"/>
  <c r="AI23" i="4"/>
  <c r="AH23" i="4"/>
  <c r="AG23" i="4"/>
  <c r="AF23" i="4"/>
  <c r="AE23" i="4"/>
  <c r="AC23" i="4"/>
  <c r="AB23" i="4"/>
  <c r="AM22" i="4"/>
  <c r="AL22" i="4"/>
  <c r="AK22" i="4"/>
  <c r="AJ22" i="4"/>
  <c r="AI22" i="4"/>
  <c r="AH22" i="4"/>
  <c r="AG22" i="4"/>
  <c r="AF22" i="4"/>
  <c r="AE22" i="4"/>
  <c r="AC22" i="4"/>
  <c r="AB22" i="4"/>
  <c r="AM21" i="4"/>
  <c r="AL21" i="4"/>
  <c r="AK21" i="4"/>
  <c r="AJ21" i="4"/>
  <c r="AI21" i="4"/>
  <c r="AH21" i="4"/>
  <c r="AG21" i="4"/>
  <c r="AF21" i="4"/>
  <c r="AE21" i="4"/>
  <c r="AC21" i="4"/>
  <c r="AB21" i="4"/>
  <c r="AM20" i="4"/>
  <c r="AL20" i="4"/>
  <c r="AK20" i="4"/>
  <c r="AJ20" i="4"/>
  <c r="AI20" i="4"/>
  <c r="AH20" i="4"/>
  <c r="AG20" i="4"/>
  <c r="AF20" i="4"/>
  <c r="AE20" i="4"/>
  <c r="AC20" i="4"/>
  <c r="AB20" i="4"/>
  <c r="AM19" i="4"/>
  <c r="AL19" i="4"/>
  <c r="AK19" i="4"/>
  <c r="AJ19" i="4"/>
  <c r="AI19" i="4"/>
  <c r="AH19" i="4"/>
  <c r="AG19" i="4"/>
  <c r="AF19" i="4"/>
  <c r="AE19" i="4"/>
  <c r="AC19" i="4"/>
  <c r="AB19" i="4"/>
  <c r="AM18" i="4"/>
  <c r="AL18" i="4"/>
  <c r="AK18" i="4"/>
  <c r="AJ18" i="4"/>
  <c r="AI18" i="4"/>
  <c r="AH18" i="4"/>
  <c r="AG18" i="4"/>
  <c r="AF18" i="4"/>
  <c r="AE18" i="4"/>
  <c r="AC18" i="4"/>
  <c r="AB18" i="4"/>
  <c r="AM17" i="4"/>
  <c r="AL17" i="4"/>
  <c r="AK17" i="4"/>
  <c r="AJ17" i="4"/>
  <c r="AI17" i="4"/>
  <c r="AH17" i="4"/>
  <c r="AG17" i="4"/>
  <c r="AF17" i="4"/>
  <c r="AE17" i="4"/>
  <c r="AC17" i="4"/>
  <c r="AB17" i="4"/>
  <c r="AM16" i="4"/>
  <c r="AL16" i="4"/>
  <c r="AK16" i="4"/>
  <c r="AJ16" i="4"/>
  <c r="AI16" i="4"/>
  <c r="AH16" i="4"/>
  <c r="AG16" i="4"/>
  <c r="AF16" i="4"/>
  <c r="AE16" i="4"/>
  <c r="AC16" i="4"/>
  <c r="AB16" i="4"/>
  <c r="AM15" i="4"/>
  <c r="AL15" i="4"/>
  <c r="AK15" i="4"/>
  <c r="AJ15" i="4"/>
  <c r="AI15" i="4"/>
  <c r="AH15" i="4"/>
  <c r="AG15" i="4"/>
  <c r="AF15" i="4"/>
  <c r="AE15" i="4"/>
  <c r="AC15" i="4"/>
  <c r="AB15" i="4"/>
  <c r="AM14" i="4"/>
  <c r="AL14" i="4"/>
  <c r="AK14" i="4"/>
  <c r="AJ14" i="4"/>
  <c r="AI14" i="4"/>
  <c r="AH14" i="4"/>
  <c r="AG14" i="4"/>
  <c r="AF14" i="4"/>
  <c r="AE14" i="4"/>
  <c r="AC14" i="4"/>
  <c r="AB14" i="4"/>
  <c r="AM13" i="4"/>
  <c r="AL13" i="4"/>
  <c r="AK13" i="4"/>
  <c r="AJ13" i="4"/>
  <c r="AI13" i="4"/>
  <c r="AH13" i="4"/>
  <c r="AG13" i="4"/>
  <c r="AF13" i="4"/>
  <c r="AE13" i="4"/>
  <c r="AC13" i="4"/>
  <c r="AB13" i="4"/>
  <c r="AM12" i="4"/>
  <c r="AL12" i="4"/>
  <c r="AK12" i="4"/>
  <c r="AJ12" i="4"/>
  <c r="AI12" i="4"/>
  <c r="AH12" i="4"/>
  <c r="AG12" i="4"/>
  <c r="AF12" i="4"/>
  <c r="AE12" i="4"/>
  <c r="AC12" i="4"/>
  <c r="AB12" i="4"/>
  <c r="AM11" i="4"/>
  <c r="AL11" i="4"/>
  <c r="AK11" i="4"/>
  <c r="AJ11" i="4"/>
  <c r="AI11" i="4"/>
  <c r="AH11" i="4"/>
  <c r="AG11" i="4"/>
  <c r="AF11" i="4"/>
  <c r="AE11" i="4"/>
  <c r="AC11" i="4"/>
  <c r="AB11" i="4"/>
  <c r="AM10" i="4"/>
  <c r="AL10" i="4"/>
  <c r="AK10" i="4"/>
  <c r="AJ10" i="4"/>
  <c r="AI10" i="4"/>
  <c r="AH10" i="4"/>
  <c r="AG10" i="4"/>
  <c r="AF10" i="4"/>
  <c r="AE10" i="4"/>
  <c r="AC10" i="4"/>
  <c r="AB10" i="4"/>
  <c r="AM9" i="4"/>
  <c r="AL9" i="4"/>
  <c r="AK9" i="4"/>
  <c r="AJ9" i="4"/>
  <c r="AI9" i="4"/>
  <c r="AH9" i="4"/>
  <c r="AG9" i="4"/>
  <c r="AF9" i="4"/>
  <c r="AE9" i="4"/>
  <c r="AC9" i="4"/>
  <c r="AB9" i="4"/>
  <c r="AM8" i="4"/>
  <c r="AL8" i="4"/>
  <c r="AK8" i="4"/>
  <c r="AJ8" i="4"/>
  <c r="AI8" i="4"/>
  <c r="AH8" i="4"/>
  <c r="AG8" i="4"/>
  <c r="AF8" i="4"/>
  <c r="AE8" i="4"/>
  <c r="AC8" i="4"/>
  <c r="AB8" i="4"/>
  <c r="AM7" i="4"/>
  <c r="AL7" i="4"/>
  <c r="AK7" i="4"/>
  <c r="AJ7" i="4"/>
  <c r="AI7" i="4"/>
  <c r="AH7" i="4"/>
  <c r="AG7" i="4"/>
  <c r="AF7" i="4"/>
  <c r="AE7" i="4"/>
  <c r="AC7" i="4"/>
  <c r="AB7" i="4"/>
  <c r="AM6" i="4"/>
  <c r="AL6" i="4"/>
  <c r="AK6" i="4"/>
  <c r="AJ6" i="4"/>
  <c r="AI6" i="4"/>
  <c r="AH6" i="4"/>
  <c r="AG6" i="4"/>
  <c r="AF6" i="4"/>
  <c r="AE6" i="4"/>
  <c r="AC6" i="4"/>
  <c r="AB6" i="4"/>
  <c r="AM5" i="4"/>
  <c r="AL5" i="4"/>
  <c r="AK5" i="4"/>
  <c r="AJ5" i="4"/>
  <c r="AI5" i="4"/>
  <c r="AH5" i="4"/>
  <c r="AG5" i="4"/>
  <c r="AF5" i="4"/>
  <c r="AE5" i="4"/>
  <c r="AC5" i="4"/>
  <c r="AB5" i="4"/>
  <c r="AM4" i="4"/>
  <c r="AL4" i="4"/>
  <c r="AK4" i="4"/>
  <c r="AJ4" i="4"/>
  <c r="AI4" i="4"/>
  <c r="AH4" i="4"/>
  <c r="AG4" i="4"/>
  <c r="AF4" i="4"/>
  <c r="AE4" i="4"/>
  <c r="AC4" i="4"/>
  <c r="AB4" i="4"/>
  <c r="AM3" i="4"/>
  <c r="AL3" i="4"/>
  <c r="AK3" i="4"/>
  <c r="AJ3" i="4"/>
  <c r="AI3" i="4"/>
  <c r="AH3" i="4"/>
  <c r="AG3" i="4"/>
  <c r="AF3" i="4"/>
  <c r="AE3" i="4"/>
  <c r="AC3" i="4"/>
  <c r="AB3" i="4"/>
  <c r="E94" i="1"/>
  <c r="D94" i="1"/>
  <c r="C94" i="1"/>
  <c r="S93" i="1"/>
  <c r="L93" i="1"/>
  <c r="K93" i="1"/>
  <c r="J93" i="1"/>
  <c r="I93" i="1"/>
  <c r="H93" i="1"/>
  <c r="G93" i="1"/>
  <c r="F93" i="1"/>
  <c r="E93" i="1"/>
  <c r="D93" i="1"/>
  <c r="S92" i="1"/>
  <c r="L92" i="1"/>
  <c r="K92" i="1"/>
  <c r="J92" i="1"/>
  <c r="I92" i="1"/>
  <c r="H92" i="1"/>
  <c r="G92" i="1"/>
  <c r="F92" i="1"/>
  <c r="E92" i="1"/>
  <c r="D92" i="1"/>
  <c r="S91" i="1"/>
  <c r="L91" i="1"/>
  <c r="K91" i="1"/>
  <c r="J91" i="1"/>
  <c r="I91" i="1"/>
  <c r="H91" i="1"/>
  <c r="G91" i="1"/>
  <c r="F91" i="1"/>
  <c r="E91" i="1"/>
  <c r="D91" i="1"/>
  <c r="S90" i="1"/>
  <c r="L90" i="1"/>
  <c r="K90" i="1"/>
  <c r="J90" i="1"/>
  <c r="I90" i="1"/>
  <c r="H90" i="1"/>
  <c r="G90" i="1"/>
  <c r="F90" i="1"/>
  <c r="E90" i="1"/>
  <c r="D90" i="1"/>
  <c r="S89" i="1"/>
  <c r="L89" i="1"/>
  <c r="K89" i="1"/>
  <c r="J89" i="1"/>
  <c r="I89" i="1"/>
  <c r="H89" i="1"/>
  <c r="G89" i="1"/>
  <c r="F89" i="1"/>
  <c r="E89" i="1"/>
  <c r="D89" i="1"/>
  <c r="S88" i="1"/>
  <c r="L88" i="1"/>
  <c r="K88" i="1"/>
  <c r="J88" i="1"/>
  <c r="I88" i="1"/>
  <c r="H88" i="1"/>
  <c r="G88" i="1"/>
  <c r="F88" i="1"/>
  <c r="E88" i="1"/>
  <c r="D88" i="1"/>
  <c r="S87" i="1"/>
  <c r="L87" i="1"/>
  <c r="K87" i="1"/>
  <c r="J87" i="1"/>
  <c r="I87" i="1"/>
  <c r="H87" i="1"/>
  <c r="G87" i="1"/>
  <c r="F87" i="1"/>
  <c r="E87" i="1"/>
  <c r="D87" i="1"/>
  <c r="S86" i="1"/>
  <c r="L86" i="1"/>
  <c r="K86" i="1"/>
  <c r="J86" i="1"/>
  <c r="I86" i="1"/>
  <c r="H86" i="1"/>
  <c r="G86" i="1"/>
  <c r="F86" i="1"/>
  <c r="E86" i="1"/>
  <c r="D86" i="1"/>
  <c r="S85" i="1"/>
  <c r="L85" i="1"/>
  <c r="K85" i="1"/>
  <c r="J85" i="1"/>
  <c r="I85" i="1"/>
  <c r="H85" i="1"/>
  <c r="G85" i="1"/>
  <c r="F85" i="1"/>
  <c r="E85" i="1"/>
  <c r="D85" i="1"/>
  <c r="S84" i="1"/>
  <c r="L84" i="1"/>
  <c r="K84" i="1"/>
  <c r="J84" i="1"/>
  <c r="I84" i="1"/>
  <c r="H84" i="1"/>
  <c r="G84" i="1"/>
  <c r="F84" i="1"/>
  <c r="E84" i="1"/>
  <c r="D84" i="1"/>
  <c r="S83" i="1"/>
  <c r="L83" i="1"/>
  <c r="K83" i="1"/>
  <c r="J83" i="1"/>
  <c r="I83" i="1"/>
  <c r="H83" i="1"/>
  <c r="G83" i="1"/>
  <c r="F83" i="1"/>
  <c r="E83" i="1"/>
  <c r="D83" i="1"/>
  <c r="S82" i="1"/>
  <c r="L82" i="1"/>
  <c r="K82" i="1"/>
  <c r="J82" i="1"/>
  <c r="I82" i="1"/>
  <c r="H82" i="1"/>
  <c r="G82" i="1"/>
  <c r="F82" i="1"/>
  <c r="E82" i="1"/>
  <c r="D82" i="1"/>
  <c r="S81" i="1"/>
  <c r="L81" i="1"/>
  <c r="K81" i="1"/>
  <c r="J81" i="1"/>
  <c r="I81" i="1"/>
  <c r="H81" i="1"/>
  <c r="G81" i="1"/>
  <c r="F81" i="1"/>
  <c r="E81" i="1"/>
  <c r="D81" i="1"/>
  <c r="S80" i="1"/>
  <c r="L80" i="1"/>
  <c r="K80" i="1"/>
  <c r="J80" i="1"/>
  <c r="I80" i="1"/>
  <c r="H80" i="1"/>
  <c r="G80" i="1"/>
  <c r="F80" i="1"/>
  <c r="E80" i="1"/>
  <c r="D80" i="1"/>
  <c r="S79" i="1"/>
  <c r="L79" i="1"/>
  <c r="K79" i="1"/>
  <c r="J79" i="1"/>
  <c r="I79" i="1"/>
  <c r="H79" i="1"/>
  <c r="G79" i="1"/>
  <c r="F79" i="1"/>
  <c r="E79" i="1"/>
  <c r="D79" i="1"/>
  <c r="S78" i="1"/>
  <c r="L78" i="1"/>
  <c r="K78" i="1"/>
  <c r="J78" i="1"/>
  <c r="I78" i="1"/>
  <c r="H78" i="1"/>
  <c r="G78" i="1"/>
  <c r="F78" i="1"/>
  <c r="E78" i="1"/>
  <c r="D78" i="1"/>
  <c r="S77" i="1"/>
  <c r="L77" i="1"/>
  <c r="K77" i="1"/>
  <c r="J77" i="1"/>
  <c r="I77" i="1"/>
  <c r="H77" i="1"/>
  <c r="G77" i="1"/>
  <c r="F77" i="1"/>
  <c r="E77" i="1"/>
  <c r="D77" i="1"/>
  <c r="S76" i="1"/>
  <c r="L76" i="1"/>
  <c r="K76" i="1"/>
  <c r="J76" i="1"/>
  <c r="I76" i="1"/>
  <c r="H76" i="1"/>
  <c r="G76" i="1"/>
  <c r="F76" i="1"/>
  <c r="E76" i="1"/>
  <c r="D76" i="1"/>
  <c r="S75" i="1"/>
  <c r="L75" i="1"/>
  <c r="K75" i="1"/>
  <c r="J75" i="1"/>
  <c r="I75" i="1"/>
  <c r="H75" i="1"/>
  <c r="G75" i="1"/>
  <c r="F75" i="1"/>
  <c r="E75" i="1"/>
  <c r="D75" i="1"/>
  <c r="S74" i="1"/>
  <c r="L74" i="1"/>
  <c r="K74" i="1"/>
  <c r="J74" i="1"/>
  <c r="I74" i="1"/>
  <c r="H74" i="1"/>
  <c r="G74" i="1"/>
  <c r="F74" i="1"/>
  <c r="E74" i="1"/>
  <c r="D74" i="1"/>
  <c r="S73" i="1"/>
  <c r="L73" i="1"/>
  <c r="K73" i="1"/>
  <c r="J73" i="1"/>
  <c r="I73" i="1"/>
  <c r="H73" i="1"/>
  <c r="G73" i="1"/>
  <c r="F73" i="1"/>
  <c r="E73" i="1"/>
  <c r="D73" i="1"/>
  <c r="S72" i="1"/>
  <c r="L72" i="1"/>
  <c r="K72" i="1"/>
  <c r="J72" i="1"/>
  <c r="I72" i="1"/>
  <c r="H72" i="1"/>
  <c r="G72" i="1"/>
  <c r="F72" i="1"/>
  <c r="E72" i="1"/>
  <c r="D72" i="1"/>
  <c r="S71" i="1"/>
  <c r="L71" i="1"/>
  <c r="K71" i="1"/>
  <c r="J71" i="1"/>
  <c r="I71" i="1"/>
  <c r="H71" i="1"/>
  <c r="G71" i="1"/>
  <c r="F71" i="1"/>
  <c r="E71" i="1"/>
  <c r="D71" i="1"/>
  <c r="S70" i="1"/>
  <c r="L70" i="1"/>
  <c r="K70" i="1"/>
  <c r="J70" i="1"/>
  <c r="I70" i="1"/>
  <c r="H70" i="1"/>
  <c r="G70" i="1"/>
  <c r="F70" i="1"/>
  <c r="E70" i="1"/>
  <c r="D70" i="1"/>
  <c r="S69" i="1"/>
  <c r="L69" i="1"/>
  <c r="K69" i="1"/>
  <c r="J69" i="1"/>
  <c r="I69" i="1"/>
  <c r="H69" i="1"/>
  <c r="G69" i="1"/>
  <c r="F69" i="1"/>
  <c r="E69" i="1"/>
  <c r="D69" i="1"/>
  <c r="S68" i="1"/>
  <c r="L68" i="1"/>
  <c r="K68" i="1"/>
  <c r="J68" i="1"/>
  <c r="I68" i="1"/>
  <c r="H68" i="1"/>
  <c r="G68" i="1"/>
  <c r="F68" i="1"/>
  <c r="E68" i="1"/>
  <c r="D68" i="1"/>
  <c r="S67" i="1"/>
  <c r="L67" i="1"/>
  <c r="K67" i="1"/>
  <c r="J67" i="1"/>
  <c r="I67" i="1"/>
  <c r="H67" i="1"/>
  <c r="G67" i="1"/>
  <c r="F67" i="1"/>
  <c r="E67" i="1"/>
  <c r="D67" i="1"/>
  <c r="S66" i="1"/>
  <c r="L66" i="1"/>
  <c r="K66" i="1"/>
  <c r="J66" i="1"/>
  <c r="I66" i="1"/>
  <c r="H66" i="1"/>
  <c r="G66" i="1"/>
  <c r="F66" i="1"/>
  <c r="E66" i="1"/>
  <c r="D66" i="1"/>
  <c r="S65" i="1"/>
  <c r="L65" i="1"/>
  <c r="K65" i="1"/>
  <c r="J65" i="1"/>
  <c r="I65" i="1"/>
  <c r="H65" i="1"/>
  <c r="G65" i="1"/>
  <c r="F65" i="1"/>
  <c r="E65" i="1"/>
  <c r="D65" i="1"/>
  <c r="S64" i="1"/>
  <c r="L64" i="1"/>
  <c r="K64" i="1"/>
  <c r="J64" i="1"/>
  <c r="I64" i="1"/>
  <c r="H64" i="1"/>
  <c r="G64" i="1"/>
  <c r="F64" i="1"/>
  <c r="E64" i="1"/>
  <c r="D64" i="1"/>
  <c r="S63" i="1"/>
  <c r="L63" i="1"/>
  <c r="K63" i="1"/>
  <c r="J63" i="1"/>
  <c r="I63" i="1"/>
  <c r="H63" i="1"/>
  <c r="G63" i="1"/>
  <c r="F63" i="1"/>
  <c r="E63" i="1"/>
  <c r="D63" i="1"/>
  <c r="S62" i="1"/>
  <c r="L62" i="1"/>
  <c r="K62" i="1"/>
  <c r="J62" i="1"/>
  <c r="I62" i="1"/>
  <c r="H62" i="1"/>
  <c r="G62" i="1"/>
  <c r="F62" i="1"/>
  <c r="E62" i="1"/>
  <c r="D62" i="1"/>
  <c r="S61" i="1"/>
  <c r="L61" i="1"/>
  <c r="K61" i="1"/>
  <c r="J61" i="1"/>
  <c r="I61" i="1"/>
  <c r="H61" i="1"/>
  <c r="G61" i="1"/>
  <c r="F61" i="1"/>
  <c r="E61" i="1"/>
  <c r="D61" i="1"/>
  <c r="S60" i="1"/>
  <c r="L60" i="1"/>
  <c r="K60" i="1"/>
  <c r="J60" i="1"/>
  <c r="I60" i="1"/>
  <c r="H60" i="1"/>
  <c r="G60" i="1"/>
  <c r="F60" i="1"/>
  <c r="E60" i="1"/>
  <c r="D60" i="1"/>
  <c r="S59" i="1"/>
  <c r="L59" i="1"/>
  <c r="K59" i="1"/>
  <c r="J59" i="1"/>
  <c r="I59" i="1"/>
  <c r="H59" i="1"/>
  <c r="G59" i="1"/>
  <c r="F59" i="1"/>
  <c r="E59" i="1"/>
  <c r="D59" i="1"/>
  <c r="S58" i="1"/>
  <c r="L58" i="1"/>
  <c r="K58" i="1"/>
  <c r="J58" i="1"/>
  <c r="I58" i="1"/>
  <c r="H58" i="1"/>
  <c r="G58" i="1"/>
  <c r="F58" i="1"/>
  <c r="E58" i="1"/>
  <c r="D58" i="1"/>
  <c r="S57" i="1"/>
  <c r="L57" i="1"/>
  <c r="K57" i="1"/>
  <c r="J57" i="1"/>
  <c r="I57" i="1"/>
  <c r="H57" i="1"/>
  <c r="G57" i="1"/>
  <c r="F57" i="1"/>
  <c r="E57" i="1"/>
  <c r="D57" i="1"/>
  <c r="S56" i="1"/>
  <c r="L56" i="1"/>
  <c r="K56" i="1"/>
  <c r="J56" i="1"/>
  <c r="I56" i="1"/>
  <c r="H56" i="1"/>
  <c r="G56" i="1"/>
  <c r="F56" i="1"/>
  <c r="E56" i="1"/>
  <c r="D56" i="1"/>
  <c r="S55" i="1"/>
  <c r="L55" i="1"/>
  <c r="K55" i="1"/>
  <c r="J55" i="1"/>
  <c r="I55" i="1"/>
  <c r="H55" i="1"/>
  <c r="G55" i="1"/>
  <c r="F55" i="1"/>
  <c r="E55" i="1"/>
  <c r="D55" i="1"/>
  <c r="S54" i="1"/>
  <c r="L54" i="1"/>
  <c r="K54" i="1"/>
  <c r="J54" i="1"/>
  <c r="I54" i="1"/>
  <c r="H54" i="1"/>
  <c r="G54" i="1"/>
  <c r="F54" i="1"/>
  <c r="E54" i="1"/>
  <c r="D54" i="1"/>
  <c r="S53" i="1"/>
  <c r="L53" i="1"/>
  <c r="K53" i="1"/>
  <c r="J53" i="1"/>
  <c r="I53" i="1"/>
  <c r="H53" i="1"/>
  <c r="G53" i="1"/>
  <c r="F53" i="1"/>
  <c r="E53" i="1"/>
  <c r="D53" i="1"/>
  <c r="S52" i="1"/>
  <c r="L52" i="1"/>
  <c r="K52" i="1"/>
  <c r="J52" i="1"/>
  <c r="I52" i="1"/>
  <c r="H52" i="1"/>
  <c r="G52" i="1"/>
  <c r="F52" i="1"/>
  <c r="E52" i="1"/>
  <c r="D52" i="1"/>
  <c r="S51" i="1"/>
  <c r="L51" i="1"/>
  <c r="K51" i="1"/>
  <c r="J51" i="1"/>
  <c r="I51" i="1"/>
  <c r="H51" i="1"/>
  <c r="G51" i="1"/>
  <c r="F51" i="1"/>
  <c r="E51" i="1"/>
  <c r="D51" i="1"/>
  <c r="S50" i="1"/>
  <c r="L50" i="1"/>
  <c r="K50" i="1"/>
  <c r="J50" i="1"/>
  <c r="I50" i="1"/>
  <c r="H50" i="1"/>
  <c r="G50" i="1"/>
  <c r="F50" i="1"/>
  <c r="E50" i="1"/>
  <c r="D50" i="1"/>
  <c r="S49" i="1"/>
  <c r="L49" i="1"/>
  <c r="K49" i="1"/>
  <c r="J49" i="1"/>
  <c r="I49" i="1"/>
  <c r="H49" i="1"/>
  <c r="G49" i="1"/>
  <c r="F49" i="1"/>
  <c r="E49" i="1"/>
  <c r="D49" i="1"/>
  <c r="S48" i="1"/>
  <c r="L48" i="1"/>
  <c r="K48" i="1"/>
  <c r="J48" i="1"/>
  <c r="I48" i="1"/>
  <c r="H48" i="1"/>
  <c r="G48" i="1"/>
  <c r="F48" i="1"/>
  <c r="E48" i="1"/>
  <c r="D48" i="1"/>
  <c r="S47" i="1"/>
  <c r="L47" i="1"/>
  <c r="K47" i="1"/>
  <c r="J47" i="1"/>
  <c r="I47" i="1"/>
  <c r="H47" i="1"/>
  <c r="G47" i="1"/>
  <c r="F47" i="1"/>
  <c r="E47" i="1"/>
  <c r="D47" i="1"/>
  <c r="S46" i="1"/>
  <c r="L46" i="1"/>
  <c r="K46" i="1"/>
  <c r="J46" i="1"/>
  <c r="I46" i="1"/>
  <c r="H46" i="1"/>
  <c r="G46" i="1"/>
  <c r="F46" i="1"/>
  <c r="E46" i="1"/>
  <c r="D46" i="1"/>
  <c r="S45" i="1"/>
  <c r="L45" i="1"/>
  <c r="K45" i="1"/>
  <c r="J45" i="1"/>
  <c r="I45" i="1"/>
  <c r="H45" i="1"/>
  <c r="G45" i="1"/>
  <c r="F45" i="1"/>
  <c r="E45" i="1"/>
  <c r="D45" i="1"/>
  <c r="S44" i="1"/>
  <c r="L44" i="1"/>
  <c r="K44" i="1"/>
  <c r="J44" i="1"/>
  <c r="I44" i="1"/>
  <c r="H44" i="1"/>
  <c r="G44" i="1"/>
  <c r="F44" i="1"/>
  <c r="E44" i="1"/>
  <c r="D44" i="1"/>
  <c r="S43" i="1"/>
  <c r="L43" i="1"/>
  <c r="K43" i="1"/>
  <c r="J43" i="1"/>
  <c r="I43" i="1"/>
  <c r="H43" i="1"/>
  <c r="G43" i="1"/>
  <c r="F43" i="1"/>
  <c r="E43" i="1"/>
  <c r="D43" i="1"/>
  <c r="S42" i="1"/>
  <c r="L42" i="1"/>
  <c r="K42" i="1"/>
  <c r="J42" i="1"/>
  <c r="I42" i="1"/>
  <c r="H42" i="1"/>
  <c r="G42" i="1"/>
  <c r="F42" i="1"/>
  <c r="E42" i="1"/>
  <c r="D42" i="1"/>
  <c r="S41" i="1"/>
  <c r="L41" i="1"/>
  <c r="K41" i="1"/>
  <c r="J41" i="1"/>
  <c r="I41" i="1"/>
  <c r="H41" i="1"/>
  <c r="G41" i="1"/>
  <c r="F41" i="1"/>
  <c r="E41" i="1"/>
  <c r="D41" i="1"/>
  <c r="S40" i="1"/>
  <c r="L40" i="1"/>
  <c r="K40" i="1"/>
  <c r="J40" i="1"/>
  <c r="I40" i="1"/>
  <c r="H40" i="1"/>
  <c r="G40" i="1"/>
  <c r="F40" i="1"/>
  <c r="E40" i="1"/>
  <c r="D40" i="1"/>
  <c r="S39" i="1"/>
  <c r="L39" i="1"/>
  <c r="K39" i="1"/>
  <c r="J39" i="1"/>
  <c r="I39" i="1"/>
  <c r="H39" i="1"/>
  <c r="G39" i="1"/>
  <c r="F39" i="1"/>
  <c r="E39" i="1"/>
  <c r="D39" i="1"/>
  <c r="S38" i="1"/>
  <c r="L38" i="1"/>
  <c r="K38" i="1"/>
  <c r="J38" i="1"/>
  <c r="I38" i="1"/>
  <c r="H38" i="1"/>
  <c r="G38" i="1"/>
  <c r="F38" i="1"/>
  <c r="E38" i="1"/>
  <c r="D38" i="1"/>
  <c r="S37" i="1"/>
  <c r="L37" i="1"/>
  <c r="K37" i="1"/>
  <c r="J37" i="1"/>
  <c r="I37" i="1"/>
  <c r="H37" i="1"/>
  <c r="G37" i="1"/>
  <c r="F37" i="1"/>
  <c r="E37" i="1"/>
  <c r="D37" i="1"/>
  <c r="S36" i="1"/>
  <c r="L36" i="1"/>
  <c r="K36" i="1"/>
  <c r="J36" i="1"/>
  <c r="I36" i="1"/>
  <c r="H36" i="1"/>
  <c r="G36" i="1"/>
  <c r="F36" i="1"/>
  <c r="E36" i="1"/>
  <c r="D36" i="1"/>
  <c r="S35" i="1"/>
  <c r="L35" i="1"/>
  <c r="K35" i="1"/>
  <c r="J35" i="1"/>
  <c r="I35" i="1"/>
  <c r="H35" i="1"/>
  <c r="G35" i="1"/>
  <c r="F35" i="1"/>
  <c r="E35" i="1"/>
  <c r="D35" i="1"/>
  <c r="S34" i="1"/>
  <c r="L34" i="1"/>
  <c r="K34" i="1"/>
  <c r="J34" i="1"/>
  <c r="I34" i="1"/>
  <c r="H34" i="1"/>
  <c r="G34" i="1"/>
  <c r="F34" i="1"/>
  <c r="E34" i="1"/>
  <c r="D34" i="1"/>
  <c r="S33" i="1"/>
  <c r="L33" i="1"/>
  <c r="K33" i="1"/>
  <c r="J33" i="1"/>
  <c r="I33" i="1"/>
  <c r="H33" i="1"/>
  <c r="G33" i="1"/>
  <c r="F33" i="1"/>
  <c r="E33" i="1"/>
  <c r="D33" i="1"/>
  <c r="S32" i="1"/>
  <c r="L32" i="1"/>
  <c r="K32" i="1"/>
  <c r="J32" i="1"/>
  <c r="I32" i="1"/>
  <c r="H32" i="1"/>
  <c r="G32" i="1"/>
  <c r="F32" i="1"/>
  <c r="E32" i="1"/>
  <c r="D32" i="1"/>
  <c r="S31" i="1"/>
  <c r="L31" i="1"/>
  <c r="K31" i="1"/>
  <c r="J31" i="1"/>
  <c r="I31" i="1"/>
  <c r="H31" i="1"/>
  <c r="G31" i="1"/>
  <c r="F31" i="1"/>
  <c r="E31" i="1"/>
  <c r="D31" i="1"/>
  <c r="S30" i="1"/>
  <c r="L30" i="1"/>
  <c r="K30" i="1"/>
  <c r="J30" i="1"/>
  <c r="I30" i="1"/>
  <c r="H30" i="1"/>
  <c r="G30" i="1"/>
  <c r="F30" i="1"/>
  <c r="E30" i="1"/>
  <c r="D30" i="1"/>
  <c r="S29" i="1"/>
  <c r="L29" i="1"/>
  <c r="K29" i="1"/>
  <c r="J29" i="1"/>
  <c r="I29" i="1"/>
  <c r="H29" i="1"/>
  <c r="G29" i="1"/>
  <c r="F29" i="1"/>
  <c r="E29" i="1"/>
  <c r="D29" i="1"/>
  <c r="S28" i="1"/>
  <c r="L28" i="1"/>
  <c r="K28" i="1"/>
  <c r="J28" i="1"/>
  <c r="I28" i="1"/>
  <c r="H28" i="1"/>
  <c r="G28" i="1"/>
  <c r="F28" i="1"/>
  <c r="E28" i="1"/>
  <c r="D28" i="1"/>
  <c r="S27" i="1"/>
  <c r="L27" i="1"/>
  <c r="K27" i="1"/>
  <c r="J27" i="1"/>
  <c r="I27" i="1"/>
  <c r="H27" i="1"/>
  <c r="G27" i="1"/>
  <c r="F27" i="1"/>
  <c r="E27" i="1"/>
  <c r="D27" i="1"/>
  <c r="S26" i="1"/>
  <c r="L26" i="1"/>
  <c r="K26" i="1"/>
  <c r="J26" i="1"/>
  <c r="I26" i="1"/>
  <c r="H26" i="1"/>
  <c r="G26" i="1"/>
  <c r="F26" i="1"/>
  <c r="E26" i="1"/>
  <c r="D26" i="1"/>
  <c r="S25" i="1"/>
  <c r="L25" i="1"/>
  <c r="K25" i="1"/>
  <c r="J25" i="1"/>
  <c r="I25" i="1"/>
  <c r="H25" i="1"/>
  <c r="G25" i="1"/>
  <c r="F25" i="1"/>
  <c r="E25" i="1"/>
  <c r="D25" i="1"/>
  <c r="S24" i="1"/>
  <c r="L24" i="1"/>
  <c r="K24" i="1"/>
  <c r="J24" i="1"/>
  <c r="I24" i="1"/>
  <c r="H24" i="1"/>
  <c r="G24" i="1"/>
  <c r="F24" i="1"/>
  <c r="E24" i="1"/>
  <c r="D24" i="1"/>
  <c r="S23" i="1"/>
  <c r="L23" i="1"/>
  <c r="K23" i="1"/>
  <c r="J23" i="1"/>
  <c r="I23" i="1"/>
  <c r="H23" i="1"/>
  <c r="G23" i="1"/>
  <c r="F23" i="1"/>
  <c r="E23" i="1"/>
  <c r="D23" i="1"/>
  <c r="S22" i="1"/>
  <c r="L22" i="1"/>
  <c r="K22" i="1"/>
  <c r="J22" i="1"/>
  <c r="I22" i="1"/>
  <c r="H22" i="1"/>
  <c r="G22" i="1"/>
  <c r="F22" i="1"/>
  <c r="E22" i="1"/>
  <c r="D22" i="1"/>
  <c r="S21" i="1"/>
  <c r="L21" i="1"/>
  <c r="K21" i="1"/>
  <c r="J21" i="1"/>
  <c r="I21" i="1"/>
  <c r="H21" i="1"/>
  <c r="G21" i="1"/>
  <c r="F21" i="1"/>
  <c r="E21" i="1"/>
  <c r="D21" i="1"/>
  <c r="S20" i="1"/>
  <c r="L20" i="1"/>
  <c r="K20" i="1"/>
  <c r="J20" i="1"/>
  <c r="I20" i="1"/>
  <c r="H20" i="1"/>
  <c r="G20" i="1"/>
  <c r="F20" i="1"/>
  <c r="E20" i="1"/>
  <c r="D20" i="1"/>
  <c r="S19" i="1"/>
  <c r="L19" i="1"/>
  <c r="K19" i="1"/>
  <c r="J19" i="1"/>
  <c r="I19" i="1"/>
  <c r="H19" i="1"/>
  <c r="G19" i="1"/>
  <c r="F19" i="1"/>
  <c r="E19" i="1"/>
  <c r="D19" i="1"/>
  <c r="S18" i="1"/>
  <c r="L18" i="1"/>
  <c r="K18" i="1"/>
  <c r="J18" i="1"/>
  <c r="I18" i="1"/>
  <c r="H18" i="1"/>
  <c r="G18" i="1"/>
  <c r="F18" i="1"/>
  <c r="E18" i="1"/>
  <c r="D18" i="1"/>
  <c r="S17" i="1"/>
  <c r="L17" i="1"/>
  <c r="AU18" i="13" s="1"/>
  <c r="AR18" i="16" s="1"/>
  <c r="K17" i="1"/>
  <c r="J17" i="1"/>
  <c r="H17" i="1"/>
  <c r="G17" i="1"/>
  <c r="F17" i="1"/>
  <c r="E17" i="1"/>
  <c r="D17" i="1"/>
  <c r="S16" i="1"/>
  <c r="L16" i="1"/>
  <c r="AR17" i="16" s="1"/>
  <c r="K16" i="1"/>
  <c r="J16" i="1"/>
  <c r="H16" i="1"/>
  <c r="G16" i="1"/>
  <c r="F16" i="1"/>
  <c r="E16" i="1"/>
  <c r="D16" i="1"/>
  <c r="S15" i="1"/>
  <c r="L15" i="1"/>
  <c r="K15" i="1"/>
  <c r="J15" i="1"/>
  <c r="H15" i="1"/>
  <c r="G15" i="1"/>
  <c r="F15" i="1"/>
  <c r="E15" i="1"/>
  <c r="D15" i="1"/>
  <c r="S14" i="1"/>
  <c r="L14" i="1"/>
  <c r="AU15" i="13" s="1"/>
  <c r="AR15" i="16" s="1"/>
  <c r="K14" i="1"/>
  <c r="J14" i="1"/>
  <c r="H14" i="1"/>
  <c r="G14" i="1"/>
  <c r="F14" i="1"/>
  <c r="E14" i="1"/>
  <c r="D14" i="1"/>
  <c r="S13" i="1"/>
  <c r="L13" i="1"/>
  <c r="AR14" i="16" s="1"/>
  <c r="K13" i="1"/>
  <c r="J13" i="1"/>
  <c r="H13" i="1"/>
  <c r="G13" i="1"/>
  <c r="F13" i="1"/>
  <c r="E13" i="1"/>
  <c r="D13" i="1"/>
  <c r="S12" i="1"/>
  <c r="L12" i="1"/>
  <c r="AR13" i="16" s="1"/>
  <c r="K12" i="1"/>
  <c r="J12" i="1"/>
  <c r="H12" i="1"/>
  <c r="G12" i="1"/>
  <c r="F12" i="1"/>
  <c r="E12" i="1"/>
  <c r="D12" i="1"/>
  <c r="S11" i="1"/>
  <c r="L11" i="1"/>
  <c r="AU12" i="13" s="1"/>
  <c r="AR12" i="16" s="1"/>
  <c r="K11" i="1"/>
  <c r="J11" i="1"/>
  <c r="H11" i="1"/>
  <c r="G11" i="1"/>
  <c r="F11" i="1"/>
  <c r="E11" i="1"/>
  <c r="D11" i="1"/>
  <c r="S10" i="1"/>
  <c r="L10" i="1"/>
  <c r="AR11" i="16" s="1"/>
  <c r="K10" i="1"/>
  <c r="J10" i="1"/>
  <c r="H10" i="1"/>
  <c r="G10" i="1"/>
  <c r="F10" i="1"/>
  <c r="E10" i="1"/>
  <c r="D10" i="1"/>
  <c r="S9" i="1"/>
  <c r="L9" i="1"/>
  <c r="K9" i="1"/>
  <c r="J9" i="1"/>
  <c r="H9" i="1"/>
  <c r="G9" i="1"/>
  <c r="F9" i="1"/>
  <c r="E9" i="1"/>
  <c r="D9" i="1"/>
  <c r="S8" i="1"/>
  <c r="L8" i="1"/>
  <c r="K8" i="1"/>
  <c r="J8" i="1"/>
  <c r="I8" i="1"/>
  <c r="H8" i="1"/>
  <c r="G8" i="1"/>
  <c r="F8" i="1"/>
  <c r="E8" i="1"/>
  <c r="D8" i="1"/>
  <c r="S7" i="1"/>
  <c r="L7" i="1"/>
  <c r="K7" i="1"/>
  <c r="J7" i="1"/>
  <c r="I7" i="1"/>
  <c r="H7" i="1"/>
  <c r="G7" i="1"/>
  <c r="F7" i="1"/>
  <c r="E7" i="1"/>
  <c r="D7" i="1"/>
  <c r="S6" i="1"/>
  <c r="L6" i="1"/>
  <c r="K6" i="1"/>
  <c r="J6" i="1"/>
  <c r="I6" i="1"/>
  <c r="H6" i="1"/>
  <c r="G6" i="1"/>
  <c r="F6" i="1"/>
  <c r="E6" i="1"/>
  <c r="D6" i="1"/>
  <c r="S5" i="1"/>
  <c r="L5" i="1"/>
  <c r="K5" i="1"/>
  <c r="J5" i="1"/>
  <c r="I5" i="1"/>
  <c r="H5" i="1"/>
  <c r="G5" i="1"/>
  <c r="F5" i="1"/>
  <c r="E5" i="1"/>
  <c r="D5" i="1"/>
  <c r="S4" i="1"/>
  <c r="L4" i="1"/>
  <c r="K4" i="1"/>
  <c r="J4" i="1"/>
  <c r="I4" i="1"/>
  <c r="H4" i="1"/>
  <c r="G4" i="1"/>
  <c r="F4" i="1"/>
  <c r="E4" i="1"/>
  <c r="D4" i="1"/>
  <c r="S3" i="1"/>
  <c r="L3" i="1"/>
  <c r="K3" i="1"/>
  <c r="J3" i="1"/>
  <c r="I3" i="1"/>
  <c r="H3" i="1"/>
  <c r="G3" i="1"/>
  <c r="F3" i="1"/>
  <c r="E3" i="1"/>
  <c r="D3" i="1"/>
  <c r="S2" i="1"/>
  <c r="L2" i="1"/>
  <c r="J2" i="1"/>
  <c r="I2" i="1"/>
  <c r="H2" i="1"/>
  <c r="G2" i="1"/>
  <c r="F2" i="1"/>
  <c r="E2" i="1"/>
  <c r="D2" i="1"/>
  <c r="F21" i="12"/>
  <c r="E21" i="12"/>
  <c r="D21" i="12"/>
  <c r="C21" i="12"/>
  <c r="A21" i="12"/>
  <c r="F20" i="12"/>
  <c r="E20" i="12"/>
  <c r="D20" i="12"/>
  <c r="C20" i="12"/>
  <c r="A20" i="12"/>
  <c r="F19" i="12"/>
  <c r="E19" i="12"/>
  <c r="D19" i="12"/>
  <c r="C19" i="12"/>
  <c r="A19" i="12"/>
  <c r="AT85" i="13" l="1"/>
  <c r="AR69" i="16"/>
  <c r="AR77" i="16"/>
  <c r="AS87" i="16"/>
  <c r="AS6" i="16"/>
  <c r="AR9" i="16"/>
  <c r="AR16" i="16"/>
  <c r="AR19" i="16"/>
  <c r="AR23" i="16"/>
  <c r="AR25" i="16"/>
  <c r="AR27" i="16"/>
  <c r="AR31" i="16"/>
  <c r="AR33" i="16"/>
  <c r="AR35" i="16"/>
  <c r="AR39" i="16"/>
  <c r="AR41" i="16"/>
  <c r="AR43" i="16"/>
  <c r="AR47" i="16"/>
  <c r="AR49" i="16"/>
  <c r="AR51" i="16"/>
  <c r="AS53" i="16"/>
  <c r="AS57" i="16"/>
  <c r="AR60" i="16"/>
  <c r="AS62" i="16"/>
  <c r="AS64" i="16"/>
  <c r="AS68" i="16"/>
  <c r="AS70" i="16"/>
  <c r="AS72" i="16"/>
  <c r="AS76" i="16"/>
  <c r="AS78" i="16"/>
  <c r="AS80" i="16"/>
  <c r="AS84" i="16"/>
  <c r="AR85" i="16"/>
  <c r="AR89" i="16"/>
  <c r="AR91" i="16"/>
  <c r="AR93" i="16"/>
  <c r="AQ93" i="16" s="1"/>
  <c r="AS18" i="16"/>
  <c r="AR21" i="16"/>
  <c r="AR7" i="16"/>
  <c r="AS9" i="16"/>
  <c r="AS13" i="16"/>
  <c r="AS19" i="16"/>
  <c r="AS21" i="16"/>
  <c r="AS23" i="16"/>
  <c r="AS25" i="16"/>
  <c r="AS27" i="16"/>
  <c r="AS31" i="16"/>
  <c r="AT32" i="13"/>
  <c r="AS33" i="16"/>
  <c r="AS35" i="16"/>
  <c r="AS37" i="16"/>
  <c r="AS41" i="16"/>
  <c r="AS43" i="16"/>
  <c r="AS45" i="16"/>
  <c r="AS49" i="16"/>
  <c r="AS51" i="16"/>
  <c r="AR56" i="16"/>
  <c r="AR67" i="16"/>
  <c r="AR34" i="16"/>
  <c r="AR42" i="16"/>
  <c r="AR50" i="16"/>
  <c r="AS55" i="16"/>
  <c r="AS63" i="16"/>
  <c r="AR66" i="16"/>
  <c r="AS71" i="16"/>
  <c r="AR74" i="16"/>
  <c r="AS79" i="16"/>
  <c r="AR82" i="16"/>
  <c r="AR87" i="16"/>
  <c r="AS92" i="16"/>
  <c r="AS7" i="16"/>
  <c r="AS95" i="16" s="1"/>
  <c r="AS10" i="16"/>
  <c r="AS26" i="16"/>
  <c r="AR29" i="16"/>
  <c r="AS34" i="16"/>
  <c r="AR37" i="16"/>
  <c r="AS42" i="16"/>
  <c r="AR45" i="16"/>
  <c r="AS50" i="16"/>
  <c r="AR53" i="16"/>
  <c r="AS58" i="16"/>
  <c r="AR61" i="16"/>
  <c r="AS66" i="16"/>
  <c r="AS74" i="16"/>
  <c r="AS82" i="16"/>
  <c r="AR90" i="16"/>
  <c r="AW95" i="13"/>
  <c r="AR4" i="16"/>
  <c r="AR95" i="16" s="1"/>
  <c r="AR6" i="16"/>
  <c r="AS15" i="16"/>
  <c r="AS20" i="16"/>
  <c r="AS22" i="16"/>
  <c r="AS24" i="16"/>
  <c r="AS28" i="16"/>
  <c r="AS32" i="16"/>
  <c r="AS36" i="16"/>
  <c r="AS38" i="16"/>
  <c r="AS40" i="16"/>
  <c r="AS44" i="16"/>
  <c r="AS46" i="16"/>
  <c r="AS48" i="16"/>
  <c r="AS52" i="16"/>
  <c r="AR57" i="16"/>
  <c r="AS59" i="16"/>
  <c r="AR64" i="16"/>
  <c r="AR68" i="16"/>
  <c r="AR70" i="16"/>
  <c r="AR72" i="16"/>
  <c r="AR76" i="16"/>
  <c r="AR78" i="16"/>
  <c r="AR80" i="16"/>
  <c r="AR84" i="16"/>
  <c r="AS86" i="16"/>
  <c r="AS88" i="16"/>
  <c r="AS90" i="16"/>
  <c r="AS94" i="16"/>
  <c r="AR5" i="16"/>
  <c r="AS14" i="16"/>
  <c r="AV95" i="13"/>
  <c r="AS85" i="16"/>
  <c r="BB11" i="13"/>
  <c r="BC11" i="13"/>
  <c r="AT3" i="13"/>
  <c r="BC3" i="13"/>
  <c r="BB7" i="13"/>
  <c r="BC7" i="13"/>
  <c r="D16" i="16"/>
  <c r="BC16" i="13"/>
  <c r="D19" i="16"/>
  <c r="BC19" i="13"/>
  <c r="BB23" i="13"/>
  <c r="BC23" i="13"/>
  <c r="D27" i="16"/>
  <c r="AX27" i="16" s="1"/>
  <c r="BC27" i="13"/>
  <c r="BB31" i="13"/>
  <c r="BC31" i="13"/>
  <c r="D35" i="16"/>
  <c r="BC35" i="13"/>
  <c r="D39" i="16"/>
  <c r="BC39" i="13"/>
  <c r="BB43" i="13"/>
  <c r="BC43" i="13"/>
  <c r="D47" i="16"/>
  <c r="BC47" i="13"/>
  <c r="D51" i="16"/>
  <c r="BC51" i="13"/>
  <c r="D55" i="16"/>
  <c r="BC55" i="13"/>
  <c r="D59" i="16"/>
  <c r="BC59" i="13"/>
  <c r="D63" i="16"/>
  <c r="BC63" i="13"/>
  <c r="D67" i="16"/>
  <c r="BC67" i="13"/>
  <c r="D71" i="16"/>
  <c r="BC71" i="13"/>
  <c r="D75" i="16"/>
  <c r="BC75" i="13"/>
  <c r="BB79" i="13"/>
  <c r="BC79" i="13"/>
  <c r="BB83" i="13"/>
  <c r="BC83" i="13"/>
  <c r="BB87" i="13"/>
  <c r="BC87" i="13"/>
  <c r="AT91" i="13"/>
  <c r="BC91" i="13"/>
  <c r="BB6" i="13"/>
  <c r="BC6" i="13"/>
  <c r="BB22" i="13"/>
  <c r="BC22" i="13"/>
  <c r="BB26" i="13"/>
  <c r="BC26" i="13"/>
  <c r="BB30" i="13"/>
  <c r="BC30" i="13"/>
  <c r="D34" i="16"/>
  <c r="BC34" i="13"/>
  <c r="BB38" i="13"/>
  <c r="BC38" i="13"/>
  <c r="D42" i="16"/>
  <c r="BC42" i="13"/>
  <c r="BB46" i="13"/>
  <c r="BC46" i="13"/>
  <c r="D50" i="16"/>
  <c r="BC50" i="13"/>
  <c r="BB54" i="13"/>
  <c r="BC54" i="13"/>
  <c r="BB58" i="13"/>
  <c r="BC58" i="13"/>
  <c r="D62" i="16"/>
  <c r="BC62" i="13"/>
  <c r="BB66" i="13"/>
  <c r="BC66" i="13"/>
  <c r="D70" i="16"/>
  <c r="BC70" i="13"/>
  <c r="BB74" i="13"/>
  <c r="BC74" i="13"/>
  <c r="D78" i="16"/>
  <c r="BC78" i="13"/>
  <c r="BB82" i="13"/>
  <c r="BC82" i="13"/>
  <c r="D86" i="16"/>
  <c r="BC86" i="13"/>
  <c r="BB90" i="13"/>
  <c r="BC90" i="13"/>
  <c r="D94" i="16"/>
  <c r="BC94" i="13"/>
  <c r="BB15" i="13"/>
  <c r="BC15" i="13"/>
  <c r="D13" i="16"/>
  <c r="BC13" i="13"/>
  <c r="D5" i="16"/>
  <c r="BC5" i="13"/>
  <c r="D9" i="16"/>
  <c r="BC9" i="13"/>
  <c r="BB12" i="13"/>
  <c r="BC12" i="13"/>
  <c r="BB21" i="13"/>
  <c r="BC21" i="13"/>
  <c r="BB25" i="13"/>
  <c r="BC25" i="13"/>
  <c r="BB29" i="13"/>
  <c r="BC29" i="13"/>
  <c r="BB33" i="13"/>
  <c r="BC33" i="13"/>
  <c r="BB37" i="13"/>
  <c r="BC37" i="13"/>
  <c r="D41" i="16"/>
  <c r="BC41" i="13"/>
  <c r="D45" i="16"/>
  <c r="BC45" i="13"/>
  <c r="D49" i="16"/>
  <c r="BC49" i="13"/>
  <c r="D53" i="16"/>
  <c r="BC53" i="13"/>
  <c r="D57" i="16"/>
  <c r="BC57" i="13"/>
  <c r="D61" i="16"/>
  <c r="BC61" i="13"/>
  <c r="D65" i="16"/>
  <c r="BC65" i="13"/>
  <c r="D69" i="16"/>
  <c r="BC69" i="13"/>
  <c r="D73" i="16"/>
  <c r="BC73" i="13"/>
  <c r="D77" i="16"/>
  <c r="AX77" i="16" s="1"/>
  <c r="BC77" i="13"/>
  <c r="AT81" i="13"/>
  <c r="BC81" i="13"/>
  <c r="BB89" i="13"/>
  <c r="BC89" i="13"/>
  <c r="BB93" i="13"/>
  <c r="BC93" i="13"/>
  <c r="BB4" i="13"/>
  <c r="BC4" i="13"/>
  <c r="BB8" i="13"/>
  <c r="BC8" i="13"/>
  <c r="BB14" i="13"/>
  <c r="BC14" i="13"/>
  <c r="BB17" i="13"/>
  <c r="BC17" i="13"/>
  <c r="D20" i="16"/>
  <c r="BC20" i="13"/>
  <c r="BB24" i="13"/>
  <c r="BC24" i="13"/>
  <c r="D28" i="16"/>
  <c r="BC28" i="13"/>
  <c r="D36" i="16"/>
  <c r="BC36" i="13"/>
  <c r="D40" i="16"/>
  <c r="BC40" i="13"/>
  <c r="BB44" i="13"/>
  <c r="BC44" i="13"/>
  <c r="BB48" i="13"/>
  <c r="BC48" i="13"/>
  <c r="BB52" i="13"/>
  <c r="BC52" i="13"/>
  <c r="BB56" i="13"/>
  <c r="BC56" i="13"/>
  <c r="BB60" i="13"/>
  <c r="BC60" i="13"/>
  <c r="BB64" i="13"/>
  <c r="BC64" i="13"/>
  <c r="BB68" i="13"/>
  <c r="BC68" i="13"/>
  <c r="BB72" i="13"/>
  <c r="BC72" i="13"/>
  <c r="BB76" i="13"/>
  <c r="BC76" i="13"/>
  <c r="BB80" i="13"/>
  <c r="BC80" i="13"/>
  <c r="D84" i="16"/>
  <c r="BC84" i="13"/>
  <c r="AT88" i="13"/>
  <c r="BC88" i="13"/>
  <c r="D92" i="16"/>
  <c r="BC92" i="13"/>
  <c r="AR10" i="16"/>
  <c r="AU95" i="13"/>
  <c r="AT10" i="13"/>
  <c r="AT18" i="13"/>
  <c r="AT37" i="13"/>
  <c r="AT94" i="13"/>
  <c r="AT60" i="13"/>
  <c r="AT63" i="13"/>
  <c r="AT89" i="13"/>
  <c r="AT14" i="13"/>
  <c r="AT5" i="13"/>
  <c r="AT20" i="13"/>
  <c r="AT29" i="13"/>
  <c r="AT43" i="13"/>
  <c r="AT52" i="13"/>
  <c r="AT19" i="13"/>
  <c r="AT28" i="13"/>
  <c r="AT42" i="13"/>
  <c r="AT51" i="13"/>
  <c r="AT61" i="13"/>
  <c r="AT66" i="13"/>
  <c r="AT71" i="13"/>
  <c r="AT90" i="13"/>
  <c r="AT55" i="13"/>
  <c r="AT8" i="13"/>
  <c r="AT69" i="13"/>
  <c r="AT74" i="13"/>
  <c r="AT79" i="13"/>
  <c r="AT6" i="13"/>
  <c r="AT11" i="13"/>
  <c r="AT34" i="13"/>
  <c r="AT77" i="13"/>
  <c r="AT82" i="13"/>
  <c r="AT4" i="13"/>
  <c r="AT16" i="13"/>
  <c r="AT22" i="13"/>
  <c r="AT27" i="13"/>
  <c r="AT39" i="13"/>
  <c r="AT45" i="13"/>
  <c r="AT50" i="13"/>
  <c r="AT21" i="13"/>
  <c r="AT44" i="13"/>
  <c r="AT67" i="13"/>
  <c r="AT83" i="13"/>
  <c r="AT13" i="13"/>
  <c r="AT36" i="13"/>
  <c r="AT59" i="13"/>
  <c r="AT86" i="13"/>
  <c r="AT12" i="13"/>
  <c r="AT24" i="13"/>
  <c r="AT30" i="13"/>
  <c r="AT35" i="13"/>
  <c r="AT47" i="13"/>
  <c r="AT53" i="13"/>
  <c r="AT58" i="13"/>
  <c r="AT75" i="13"/>
  <c r="AQ7" i="16"/>
  <c r="D31" i="16"/>
  <c r="D29" i="16"/>
  <c r="AH95" i="13"/>
  <c r="BB95" i="13" s="1"/>
  <c r="AT9" i="13"/>
  <c r="AT17" i="13"/>
  <c r="AT25" i="13"/>
  <c r="AT40" i="13"/>
  <c r="AT48" i="13"/>
  <c r="AT56" i="13"/>
  <c r="AT64" i="13"/>
  <c r="AT72" i="13"/>
  <c r="AT80" i="13"/>
  <c r="AT87" i="13"/>
  <c r="D6" i="16"/>
  <c r="D79" i="16"/>
  <c r="D81" i="16"/>
  <c r="D83" i="16"/>
  <c r="E12" i="19"/>
  <c r="BB20" i="13"/>
  <c r="BB84" i="13"/>
  <c r="BB45" i="13"/>
  <c r="BB91" i="13"/>
  <c r="BB62" i="13"/>
  <c r="BB65" i="13"/>
  <c r="BB39" i="13"/>
  <c r="BB16" i="13"/>
  <c r="BB88" i="13"/>
  <c r="BB41" i="13"/>
  <c r="BB34" i="13"/>
  <c r="D4" i="16"/>
  <c r="D8" i="16"/>
  <c r="D10" i="16"/>
  <c r="D12" i="16"/>
  <c r="D14" i="16"/>
  <c r="D18" i="16"/>
  <c r="D22" i="16"/>
  <c r="D24" i="16"/>
  <c r="D26" i="16"/>
  <c r="AQ77" i="16"/>
  <c r="D87" i="16"/>
  <c r="D89" i="16"/>
  <c r="D91" i="16"/>
  <c r="D93" i="16"/>
  <c r="AX93" i="16" s="1"/>
  <c r="BB28" i="13"/>
  <c r="BB92" i="13"/>
  <c r="BB53" i="13"/>
  <c r="BB70" i="13"/>
  <c r="BB47" i="13"/>
  <c r="BB57" i="13"/>
  <c r="BB49" i="13"/>
  <c r="BB42" i="13"/>
  <c r="AT7" i="13"/>
  <c r="AT15" i="13"/>
  <c r="AT23" i="13"/>
  <c r="AT31" i="13"/>
  <c r="AT38" i="13"/>
  <c r="AT46" i="13"/>
  <c r="AT54" i="13"/>
  <c r="AT62" i="13"/>
  <c r="AT70" i="13"/>
  <c r="AT78" i="13"/>
  <c r="AT93" i="13"/>
  <c r="D30" i="16"/>
  <c r="AQ85" i="16"/>
  <c r="BB36" i="13"/>
  <c r="BB67" i="13"/>
  <c r="BB61" i="13"/>
  <c r="BB78" i="13"/>
  <c r="BB27" i="13"/>
  <c r="BB55" i="13"/>
  <c r="BB40" i="13"/>
  <c r="BB35" i="13"/>
  <c r="BB73" i="13"/>
  <c r="BB50" i="13"/>
  <c r="AT92" i="13"/>
  <c r="D38" i="16"/>
  <c r="D44" i="16"/>
  <c r="D46" i="16"/>
  <c r="D48" i="16"/>
  <c r="D52" i="16"/>
  <c r="D54" i="16"/>
  <c r="D56" i="16"/>
  <c r="D58" i="16"/>
  <c r="D60" i="16"/>
  <c r="D64" i="16"/>
  <c r="D66" i="16"/>
  <c r="D68" i="16"/>
  <c r="D72" i="16"/>
  <c r="D74" i="16"/>
  <c r="D76" i="16"/>
  <c r="BB5" i="13"/>
  <c r="BB69" i="13"/>
  <c r="BB86" i="13"/>
  <c r="BB71" i="13"/>
  <c r="BB75" i="13"/>
  <c r="BB19" i="13"/>
  <c r="AT68" i="13"/>
  <c r="AT76" i="13"/>
  <c r="AT84" i="13"/>
  <c r="D7" i="16"/>
  <c r="AX7" i="16" s="1"/>
  <c r="AQ32" i="16"/>
  <c r="D80" i="16"/>
  <c r="D82" i="16"/>
  <c r="BB13" i="13"/>
  <c r="BB77" i="13"/>
  <c r="BB94" i="13"/>
  <c r="BB3" i="13"/>
  <c r="BB9" i="13"/>
  <c r="BB51" i="13"/>
  <c r="D3" i="16"/>
  <c r="D11" i="16"/>
  <c r="D15" i="16"/>
  <c r="D17" i="16"/>
  <c r="D21" i="16"/>
  <c r="D23" i="16"/>
  <c r="D25" i="16"/>
  <c r="D88" i="16"/>
  <c r="D90" i="16"/>
  <c r="BB63" i="13"/>
  <c r="BB10" i="13"/>
  <c r="BB81" i="13"/>
  <c r="BB59" i="13"/>
  <c r="BB18" i="13"/>
  <c r="AT26" i="13"/>
  <c r="AT33" i="13"/>
  <c r="AT41" i="13"/>
  <c r="AT49" i="13"/>
  <c r="AT57" i="13"/>
  <c r="AT65" i="13"/>
  <c r="AT73" i="13"/>
  <c r="AQ27" i="16"/>
  <c r="D33" i="16"/>
  <c r="D37" i="16"/>
  <c r="D43" i="16"/>
  <c r="AN94" i="16"/>
  <c r="AN19" i="16"/>
  <c r="AN21" i="16"/>
  <c r="AQ21" i="16" s="1"/>
  <c r="AN25" i="16"/>
  <c r="AN92" i="16"/>
  <c r="AX92" i="16" s="1"/>
  <c r="AN82" i="16"/>
  <c r="AN9" i="16"/>
  <c r="AN15" i="16"/>
  <c r="AN17" i="16"/>
  <c r="AN81" i="16"/>
  <c r="AX81" i="16" s="1"/>
  <c r="AN41" i="16"/>
  <c r="AN67" i="16"/>
  <c r="AX67" i="16" s="1"/>
  <c r="AN69" i="16"/>
  <c r="AX69" i="16" s="1"/>
  <c r="AN71" i="16"/>
  <c r="AN72" i="16"/>
  <c r="AN73" i="16"/>
  <c r="AQ73" i="16" s="1"/>
  <c r="AN75" i="16"/>
  <c r="AN33" i="16"/>
  <c r="AN57" i="16"/>
  <c r="AN65" i="16"/>
  <c r="AN54" i="16"/>
  <c r="AN89" i="16"/>
  <c r="AN49" i="16"/>
  <c r="AQ49" i="16" s="1"/>
  <c r="AN34" i="16"/>
  <c r="AN36" i="16"/>
  <c r="AX36" i="16" s="1"/>
  <c r="AN42" i="16"/>
  <c r="AX42" i="16" s="1"/>
  <c r="AN44" i="16"/>
  <c r="AQ44" i="16" s="1"/>
  <c r="AN14" i="16"/>
  <c r="AX14" i="16" s="1"/>
  <c r="AN23" i="16"/>
  <c r="AN62" i="16"/>
  <c r="AN88" i="16"/>
  <c r="AN91" i="16"/>
  <c r="AO95" i="13"/>
  <c r="AN3" i="16"/>
  <c r="AQ3" i="16" s="1"/>
  <c r="AN4" i="16"/>
  <c r="AN22" i="16"/>
  <c r="AN29" i="16"/>
  <c r="AN40" i="16"/>
  <c r="AN52" i="16"/>
  <c r="AQ52" i="16" s="1"/>
  <c r="AN70" i="16"/>
  <c r="AQ70" i="16" s="1"/>
  <c r="AN79" i="16"/>
  <c r="AX79" i="16" s="1"/>
  <c r="AN80" i="16"/>
  <c r="AN90" i="16"/>
  <c r="AP95" i="13"/>
  <c r="AM95" i="13"/>
  <c r="AN10" i="16"/>
  <c r="AN12" i="16"/>
  <c r="AN31" i="16"/>
  <c r="AN50" i="16"/>
  <c r="AN60" i="16"/>
  <c r="AX60" i="16" s="1"/>
  <c r="AQ95" i="13"/>
  <c r="AN18" i="16"/>
  <c r="AQ18" i="16" s="1"/>
  <c r="AN30" i="16"/>
  <c r="AN78" i="16"/>
  <c r="AJ95" i="13"/>
  <c r="AR95" i="13"/>
  <c r="AN16" i="16"/>
  <c r="AX16" i="16" s="1"/>
  <c r="AN26" i="16"/>
  <c r="AQ26" i="16" s="1"/>
  <c r="AN39" i="16"/>
  <c r="AX39" i="16" s="1"/>
  <c r="AN43" i="16"/>
  <c r="AN45" i="16"/>
  <c r="AN48" i="16"/>
  <c r="AN66" i="16"/>
  <c r="AN76" i="16"/>
  <c r="AN95" i="13"/>
  <c r="AN20" i="16"/>
  <c r="AN37" i="16"/>
  <c r="AN68" i="16"/>
  <c r="AK95" i="13"/>
  <c r="AN5" i="16"/>
  <c r="AN24" i="16"/>
  <c r="AQ24" i="16" s="1"/>
  <c r="AN28" i="16"/>
  <c r="AN38" i="16"/>
  <c r="AN47" i="16"/>
  <c r="AX47" i="16" s="1"/>
  <c r="AN51" i="16"/>
  <c r="AX51" i="16" s="1"/>
  <c r="AN53" i="16"/>
  <c r="AN55" i="16"/>
  <c r="AX55" i="16" s="1"/>
  <c r="AN56" i="16"/>
  <c r="AQ56" i="16" s="1"/>
  <c r="AN74" i="16"/>
  <c r="AN86" i="16"/>
  <c r="AQ86" i="16" s="1"/>
  <c r="AN8" i="16"/>
  <c r="AX8" i="16" s="1"/>
  <c r="AN35" i="16"/>
  <c r="AX35" i="16" s="1"/>
  <c r="AN58" i="16"/>
  <c r="AN87" i="16"/>
  <c r="AL95" i="13"/>
  <c r="AN6" i="16"/>
  <c r="AN11" i="16"/>
  <c r="AQ11" i="16" s="1"/>
  <c r="AN13" i="16"/>
  <c r="AX13" i="16" s="1"/>
  <c r="AN46" i="16"/>
  <c r="AN59" i="16"/>
  <c r="AN61" i="16"/>
  <c r="AQ61" i="16" s="1"/>
  <c r="AN63" i="16"/>
  <c r="AX63" i="16" s="1"/>
  <c r="AN64" i="16"/>
  <c r="AN83" i="16"/>
  <c r="AN84" i="16"/>
  <c r="AT95" i="16"/>
  <c r="AQ46" i="16" l="1"/>
  <c r="AQ87" i="16"/>
  <c r="AQ53" i="16"/>
  <c r="AX68" i="16"/>
  <c r="AX22" i="16"/>
  <c r="AX65" i="16"/>
  <c r="AX25" i="16"/>
  <c r="AQ84" i="16"/>
  <c r="AQ41" i="16"/>
  <c r="AX19" i="16"/>
  <c r="AX50" i="16"/>
  <c r="AX28" i="16"/>
  <c r="AX34" i="16"/>
  <c r="AX38" i="16"/>
  <c r="AX57" i="16"/>
  <c r="AX41" i="16"/>
  <c r="AX5" i="16"/>
  <c r="AX48" i="16"/>
  <c r="AX71" i="16"/>
  <c r="AX30" i="16"/>
  <c r="AX83" i="16"/>
  <c r="AX78" i="16"/>
  <c r="AX40" i="16"/>
  <c r="AX62" i="16"/>
  <c r="AX89" i="16"/>
  <c r="AX45" i="16"/>
  <c r="AX29" i="16"/>
  <c r="AX54" i="16"/>
  <c r="AX59" i="16"/>
  <c r="AX20" i="16"/>
  <c r="BC95" i="13"/>
  <c r="AX75" i="16"/>
  <c r="AX17" i="16"/>
  <c r="AX94" i="16"/>
  <c r="AX76" i="16"/>
  <c r="AX31" i="16"/>
  <c r="AX91" i="16"/>
  <c r="AX74" i="16"/>
  <c r="AX12" i="16"/>
  <c r="AX9" i="16"/>
  <c r="AX3" i="16"/>
  <c r="AX64" i="16"/>
  <c r="AX37" i="16"/>
  <c r="AX15" i="16"/>
  <c r="AX10" i="16"/>
  <c r="AX80" i="16"/>
  <c r="AX66" i="16"/>
  <c r="AX6" i="16"/>
  <c r="AX43" i="16"/>
  <c r="AX90" i="16"/>
  <c r="AX4" i="16"/>
  <c r="AX21" i="16"/>
  <c r="AX23" i="16"/>
  <c r="AT95" i="13"/>
  <c r="AX58" i="16"/>
  <c r="AX33" i="16"/>
  <c r="AX88" i="16"/>
  <c r="AX72" i="16"/>
  <c r="D95" i="16"/>
  <c r="AX82" i="16"/>
  <c r="AQ36" i="16"/>
  <c r="AQ94" i="16"/>
  <c r="AQ19" i="16"/>
  <c r="AQ57" i="16"/>
  <c r="AQ33" i="16"/>
  <c r="AQ20" i="16"/>
  <c r="AQ81" i="16"/>
  <c r="AQ42" i="16"/>
  <c r="AQ75" i="16"/>
  <c r="AX18" i="16"/>
  <c r="AQ92" i="16"/>
  <c r="AQ65" i="16"/>
  <c r="AQ25" i="16"/>
  <c r="AQ68" i="16"/>
  <c r="AX49" i="16"/>
  <c r="AQ89" i="16"/>
  <c r="AQ59" i="16"/>
  <c r="AQ22" i="16"/>
  <c r="AQ78" i="16"/>
  <c r="AX70" i="16"/>
  <c r="AX73" i="16"/>
  <c r="AQ15" i="16"/>
  <c r="AQ13" i="16"/>
  <c r="AQ72" i="16"/>
  <c r="AQ48" i="16"/>
  <c r="AX52" i="16"/>
  <c r="AX56" i="16"/>
  <c r="AQ31" i="16"/>
  <c r="AQ34" i="16"/>
  <c r="AQ91" i="16"/>
  <c r="AQ5" i="16"/>
  <c r="AQ82" i="16"/>
  <c r="AQ62" i="16"/>
  <c r="AQ71" i="16"/>
  <c r="AX86" i="16"/>
  <c r="AX44" i="16"/>
  <c r="AQ10" i="16"/>
  <c r="AQ28" i="16"/>
  <c r="AQ76" i="16"/>
  <c r="AQ6" i="16"/>
  <c r="AQ40" i="16"/>
  <c r="AQ83" i="16"/>
  <c r="AQ12" i="16"/>
  <c r="AN95" i="16"/>
  <c r="AQ9" i="16"/>
  <c r="AQ47" i="16"/>
  <c r="AQ88" i="16"/>
  <c r="AQ16" i="16"/>
  <c r="AQ17" i="16"/>
  <c r="AX84" i="16"/>
  <c r="AQ66" i="16"/>
  <c r="AX11" i="16"/>
  <c r="AX53" i="16"/>
  <c r="AQ64" i="16"/>
  <c r="AX87" i="16"/>
  <c r="AQ29" i="16"/>
  <c r="AQ14" i="16"/>
  <c r="AQ69" i="16"/>
  <c r="AQ30" i="16"/>
  <c r="AQ55" i="16"/>
  <c r="AQ63" i="16"/>
  <c r="AQ43" i="16"/>
  <c r="AQ54" i="16"/>
  <c r="AQ45" i="16"/>
  <c r="AQ67" i="16"/>
  <c r="AQ23" i="16"/>
  <c r="AQ51" i="16"/>
  <c r="AX46" i="16"/>
  <c r="AQ74" i="16"/>
  <c r="AQ4" i="16"/>
  <c r="AQ35" i="16"/>
  <c r="AQ60" i="16"/>
  <c r="AQ37" i="16"/>
  <c r="AX61" i="16"/>
  <c r="AQ58" i="16"/>
  <c r="AQ38" i="16"/>
  <c r="AQ8" i="16"/>
  <c r="AQ90" i="16"/>
  <c r="AQ80" i="16"/>
  <c r="F12" i="19"/>
  <c r="AX24" i="16"/>
  <c r="AQ50" i="16"/>
  <c r="AQ79" i="16"/>
  <c r="AQ39" i="16"/>
  <c r="AX26" i="16"/>
  <c r="AQ95" i="16" l="1"/>
</calcChain>
</file>

<file path=xl/sharedStrings.xml><?xml version="1.0" encoding="utf-8"?>
<sst xmlns="http://schemas.openxmlformats.org/spreadsheetml/2006/main" count="3423" uniqueCount="640">
  <si>
    <t>ADM1_EN</t>
  </si>
  <si>
    <t>ADM2_EN</t>
  </si>
  <si>
    <t>Total</t>
  </si>
  <si>
    <t>Male</t>
  </si>
  <si>
    <t>Female</t>
  </si>
  <si>
    <t>Bulawayo</t>
  </si>
  <si>
    <t>Manicaland</t>
  </si>
  <si>
    <t>Buhera</t>
  </si>
  <si>
    <t>Chimanimani</t>
  </si>
  <si>
    <t>Makoni</t>
  </si>
  <si>
    <t>Mutasa</t>
  </si>
  <si>
    <t>Nyanga</t>
  </si>
  <si>
    <t>Mutare Urban</t>
  </si>
  <si>
    <t>Rusape</t>
  </si>
  <si>
    <t>Chipinge Urban</t>
  </si>
  <si>
    <t>Mashonaland Central</t>
  </si>
  <si>
    <t>Centenary/ Muzarabani</t>
  </si>
  <si>
    <t>Guruve</t>
  </si>
  <si>
    <t>Mazowe</t>
  </si>
  <si>
    <t>Mount Darwin</t>
  </si>
  <si>
    <t>Rushinga</t>
  </si>
  <si>
    <t>Shamva</t>
  </si>
  <si>
    <t>Mbire</t>
  </si>
  <si>
    <t>Mvurwi</t>
  </si>
  <si>
    <t>Bindura Urban</t>
  </si>
  <si>
    <t>Mashonaland East</t>
  </si>
  <si>
    <t>Chikomba</t>
  </si>
  <si>
    <t>Goromonzi</t>
  </si>
  <si>
    <t>Hwedza</t>
  </si>
  <si>
    <t>Mudzi</t>
  </si>
  <si>
    <t>Murehwa</t>
  </si>
  <si>
    <t>Mutoko</t>
  </si>
  <si>
    <t>Seke</t>
  </si>
  <si>
    <t>Marondera Urban</t>
  </si>
  <si>
    <t>Ruwa Local Board</t>
  </si>
  <si>
    <t>Mashonaland West</t>
  </si>
  <si>
    <t>Hurungwe</t>
  </si>
  <si>
    <t>Kadoma Urban</t>
  </si>
  <si>
    <t>Makonde</t>
  </si>
  <si>
    <t>Zvimba</t>
  </si>
  <si>
    <t>Chinhoyi</t>
  </si>
  <si>
    <t>Chegutu Urban</t>
  </si>
  <si>
    <t>Kariba Urban</t>
  </si>
  <si>
    <t xml:space="preserve">Norton  </t>
  </si>
  <si>
    <t>Karoi</t>
  </si>
  <si>
    <t>Mhondoro-Ngezi</t>
  </si>
  <si>
    <t>Sanyati</t>
  </si>
  <si>
    <t>Matabeleland  North</t>
  </si>
  <si>
    <t>Binga</t>
  </si>
  <si>
    <t>Bubi</t>
  </si>
  <si>
    <t>Lupane</t>
  </si>
  <si>
    <t>Nkayi</t>
  </si>
  <si>
    <t>Tsholotsho</t>
  </si>
  <si>
    <t>Umguza</t>
  </si>
  <si>
    <t>Hwange Urban</t>
  </si>
  <si>
    <t>Victoria Falls</t>
  </si>
  <si>
    <t>Matabeleland South</t>
  </si>
  <si>
    <t>Bulilima</t>
  </si>
  <si>
    <t>Mangwe</t>
  </si>
  <si>
    <t>Gwanda Rural</t>
  </si>
  <si>
    <t>Insiza</t>
  </si>
  <si>
    <t>Matobo</t>
  </si>
  <si>
    <t>Umzingwane</t>
  </si>
  <si>
    <t>Gwanda Urban</t>
  </si>
  <si>
    <t>Beitbridge Urban</t>
  </si>
  <si>
    <t>Plumtree</t>
  </si>
  <si>
    <t>Midlands</t>
  </si>
  <si>
    <t>Chirumhanzu</t>
  </si>
  <si>
    <t>Gokwe North</t>
  </si>
  <si>
    <t>Gweru Rural</t>
  </si>
  <si>
    <t>Mberengwa</t>
  </si>
  <si>
    <t>Gweru Urban</t>
  </si>
  <si>
    <t>Kwekwe Urban</t>
  </si>
  <si>
    <t>Redcliff</t>
  </si>
  <si>
    <t>Shurugwi Urban</t>
  </si>
  <si>
    <t>Gokwe South Urban</t>
  </si>
  <si>
    <t>Masvingo</t>
  </si>
  <si>
    <t>Bikita</t>
  </si>
  <si>
    <t>Chivi</t>
  </si>
  <si>
    <t>Gutu</t>
  </si>
  <si>
    <t>Mwenezi</t>
  </si>
  <si>
    <t>Zaka</t>
  </si>
  <si>
    <t>Masvingo Urban</t>
  </si>
  <si>
    <t>Chiredzi Urban</t>
  </si>
  <si>
    <t>Harare</t>
  </si>
  <si>
    <t>Chitungwiza</t>
  </si>
  <si>
    <t>Epworth</t>
  </si>
  <si>
    <t>Harare Rural</t>
  </si>
  <si>
    <t>Mutare</t>
  </si>
  <si>
    <t>Chipinge</t>
  </si>
  <si>
    <t>Bindura</t>
  </si>
  <si>
    <t>Chiredzi</t>
  </si>
  <si>
    <t>Zvishavane Urban</t>
  </si>
  <si>
    <t>Zvishavane</t>
  </si>
  <si>
    <t>Shurugwi</t>
  </si>
  <si>
    <t>Kwekwe</t>
  </si>
  <si>
    <t>Gokwe South</t>
  </si>
  <si>
    <t>Beitbridge</t>
  </si>
  <si>
    <t>Hwange</t>
  </si>
  <si>
    <t>Chegutu</t>
  </si>
  <si>
    <t>Kariba</t>
  </si>
  <si>
    <t>Uzumba Maramba Pfungwe</t>
  </si>
  <si>
    <t>Marondera</t>
  </si>
  <si>
    <t xml:space="preserve">People with Disability </t>
  </si>
  <si>
    <t>Chivhu Local Board</t>
  </si>
  <si>
    <t>Population projection 2020</t>
  </si>
  <si>
    <t>Elderly (65+) 
2020 projection</t>
  </si>
  <si>
    <t>Age Group &lt;5</t>
  </si>
  <si>
    <t>Age Group &lt;18</t>
  </si>
  <si>
    <t>Age Group 15 - 49</t>
  </si>
  <si>
    <t>Age Group 50 - 64</t>
  </si>
  <si>
    <t>Age Group 65+</t>
  </si>
  <si>
    <t>Women and Girls (15-49 yrs) 2020 projection</t>
  </si>
  <si>
    <t>Children &lt;18  2020 Projection</t>
  </si>
  <si>
    <t>Total IDPs / Migrants</t>
  </si>
  <si>
    <t>IDPs / Migrants Male</t>
  </si>
  <si>
    <t>IDPs / Migrants Female</t>
  </si>
  <si>
    <t>Minimal (1)</t>
  </si>
  <si>
    <t>Stress (2)</t>
  </si>
  <si>
    <t>Severe (3)</t>
  </si>
  <si>
    <t>Extreme (4)</t>
  </si>
  <si>
    <t>Catastrophic (5)</t>
  </si>
  <si>
    <t>Minimum Acceptable Diet in children 6 to 23 months</t>
  </si>
  <si>
    <t>MOZAMBIQUE HUMANITARIAN NEEDS OVERVIEW (HNO) 2021 CLUSTER DATA COLLECTION TEMPLATE</t>
  </si>
  <si>
    <t xml:space="preserve">Baseline Data Tab: </t>
  </si>
  <si>
    <t>Cluster Indicator Tabs</t>
  </si>
  <si>
    <t xml:space="preserve">Three individual  worksheets are provided to input data for each of the indicators selected by the Cluster (maximum of 3 indicators, clusters can use less based on data available) </t>
  </si>
  <si>
    <t xml:space="preserve">Please refer to the Indicator Reference Table tab for examples of Indicators to use per Cluster/Sector. </t>
  </si>
  <si>
    <t xml:space="preserve">(Clusters may also use their own other indicators if relevant data is available). </t>
  </si>
  <si>
    <t xml:space="preserve">Please refer to the Severity Scale Reference Table tab for definitions regarding the severity scale (1-5) in the Indicator template </t>
  </si>
  <si>
    <t>For each indicator, geographical area/affected group, calculate the percentage of people per severity class.</t>
  </si>
  <si>
    <r>
      <t>The total number of people in an area or affected group will be distributed across the 5 severity classes, totalling</t>
    </r>
    <r>
      <rPr>
        <b/>
        <sz val="11"/>
        <rFont val="Arial"/>
        <family val="2"/>
      </rPr>
      <t xml:space="preserve"> 100 % </t>
    </r>
  </si>
  <si>
    <t xml:space="preserve">Example: </t>
  </si>
  <si>
    <t>* The following indicators are NOT  recommended:</t>
  </si>
  <si>
    <t>● A sector PiN should not be used as a measure of severity in the Humanitarian Conditions</t>
  </si>
  <si>
    <t>pillar. Sector PiN, when already calculated, will be used at a later stage as part of the review</t>
  </si>
  <si>
    <t>and finalisation of JIAF and sector findings.</t>
  </si>
  <si>
    <t>● Response indicators, e.g. % of the population who have received (or not received) XX, should</t>
  </si>
  <si>
    <t>not be included in the JIAF as they are not needs-related indicators. They can be used</t>
  </si>
  <si>
    <t>separately to calculate gaps in response and inform the projection of needs.</t>
  </si>
  <si>
    <t>● Risk indicators, e.g. number of people living in flood prone areas should be used only to</t>
  </si>
  <si>
    <t xml:space="preserve">support JIAF risk analysis </t>
  </si>
  <si>
    <t xml:space="preserve">OCHA will then assist to calculate one overall severity class score per indicator by area using the 25% rule, and combine the scores from the indicators based on the JIAF  Scenario B methodology (multiple indicators from multiple sources) </t>
  </si>
  <si>
    <t xml:space="preserve">The 25% rule” involves adding up the cumulative % sum from right to left, until reaching at least
25% of the population. This will return one final severity classification score.  Example: </t>
  </si>
  <si>
    <t>PiN (People in Need) CALCULATION</t>
  </si>
  <si>
    <t>Clusters can calculate the PiN using their own methodology and indicators based on available data (please specify methodology in the worksheet provided)</t>
  </si>
  <si>
    <t xml:space="preserve">A separate worksheet tab 'PIN_Methodology_Source' has also been provided for Clusters to indicate how their  PIN  was calculated and data sources used. </t>
  </si>
  <si>
    <t>(* If you add numbers, take care not to duplicate the PiN, rather use the max value. The PiN should not be greater that the total population for that area/district )</t>
  </si>
  <si>
    <t xml:space="preserve"> Alternatively, the PiN can also be calculated by adding together the number of people in Severity class 3 and above (3,4,5), as indicated in the  JIAF example below :</t>
  </si>
  <si>
    <t xml:space="preserve">Please refer to the Joint Intersectoral Analysis Framework (JIAF) Guidance .pdf file for more detailed information </t>
  </si>
  <si>
    <t>Life-Sustaining</t>
  </si>
  <si>
    <t>Life-Threatening</t>
  </si>
  <si>
    <t>PIN METHODOLOGY EXPLANATION  FROM CLUSTER</t>
  </si>
  <si>
    <t xml:space="preserve">INDICATOR 1 PiN: </t>
  </si>
  <si>
    <t xml:space="preserve">Data Source: </t>
  </si>
  <si>
    <t xml:space="preserve">PiN Methodology Explanation: </t>
  </si>
  <si>
    <t xml:space="preserve">INDICATOR 2 PiN: </t>
  </si>
  <si>
    <t xml:space="preserve">INDICATOR 3 PiN: </t>
  </si>
  <si>
    <t>JIAF SEVERITY SCALE REFERENCE TABLE</t>
  </si>
  <si>
    <t xml:space="preserve">The scale refers to the definitions below. 
</t>
  </si>
  <si>
    <t>The methodology enables distribution of the total number of people in an area or affected group across the five severity classes.</t>
  </si>
  <si>
    <t xml:space="preserve">PROCESS: </t>
  </si>
  <si>
    <t>-Identify agreed affected geographical areas /districts</t>
  </si>
  <si>
    <t xml:space="preserve">-Identify and profile affected population groups, including specific vulnerable groups and number of people affected , establish common baseline figures (broken down by age, gender, disability etc. ) </t>
  </si>
  <si>
    <t>Review and identify indicators and data available for the  geographical area  e.g. District</t>
  </si>
  <si>
    <r>
      <t>Typically these</t>
    </r>
    <r>
      <rPr>
        <b/>
        <sz val="11"/>
        <rFont val="Arial"/>
        <family val="2"/>
      </rPr>
      <t xml:space="preserve"> indicators are derived from needs assessments, surveys, monitoring systems, studies etc</t>
    </r>
    <r>
      <rPr>
        <sz val="11"/>
        <color theme="1"/>
        <rFont val="Calibri"/>
        <family val="2"/>
        <scheme val="minor"/>
      </rPr>
      <t xml:space="preserve">. </t>
    </r>
  </si>
  <si>
    <r>
      <t>Evidence of humanitarian conditions, in the form of</t>
    </r>
    <r>
      <rPr>
        <b/>
        <sz val="11"/>
        <rFont val="Arial"/>
        <family val="2"/>
      </rPr>
      <t xml:space="preserve"> indicators</t>
    </r>
    <r>
      <rPr>
        <sz val="11"/>
        <color theme="1"/>
        <rFont val="Calibri"/>
        <family val="2"/>
        <scheme val="minor"/>
      </rPr>
      <t xml:space="preserve">,  is entered into the JIAF severity model and </t>
    </r>
    <r>
      <rPr>
        <b/>
        <sz val="11"/>
        <rFont val="Arial"/>
        <family val="2"/>
      </rPr>
      <t>classified using the JIAF Severity Scale.</t>
    </r>
  </si>
  <si>
    <t xml:space="preserve">Cluster to select a maximum of 3 indicators  (indicator examples provided in the Indicator Referene Table, or cluster may choose  their own based on available data). </t>
  </si>
  <si>
    <t xml:space="preserve">Clusters and AoR will guide the analysis of quantitative context-shockimpact indicators based on their sectoral expertise. </t>
  </si>
  <si>
    <t xml:space="preserve">Cluster to estimate the  %  of population in each Severity Class (1-5), by Indicator/Area, based on the JIAF Severity Scale definitions. </t>
  </si>
  <si>
    <t xml:space="preserve">Cluster to calculate PiN (Peole in Need) for indicator, based on available data sources. </t>
  </si>
  <si>
    <t>Inter-sectoral data consolidation and joint analysis, based on JIAF guidance</t>
  </si>
  <si>
    <t xml:space="preserve">The final outcome should be an agreed list of NEEDS and associated factors, for each geographical area, affected group  and issues to address, borken down by severity phase (including sex, age, disability and diversity characteristics), based on a collaborative process. </t>
  </si>
  <si>
    <t>People with disability</t>
  </si>
  <si>
    <t>Residence</t>
  </si>
  <si>
    <t>Retuenees</t>
  </si>
  <si>
    <t>IDPs</t>
  </si>
  <si>
    <t>Children under 5 years</t>
  </si>
  <si>
    <t>Children under 18 years</t>
  </si>
  <si>
    <t>Women and Girls 15 to 49 years</t>
  </si>
  <si>
    <t>Elderly above 65 years</t>
  </si>
  <si>
    <t>People living with HIV</t>
  </si>
  <si>
    <t>Number of IDP's (Internally Displaced Persons) by District</t>
  </si>
  <si>
    <t>Sector</t>
  </si>
  <si>
    <t>Sub- sector</t>
  </si>
  <si>
    <t>Pillar</t>
  </si>
  <si>
    <t>Sub pillar</t>
  </si>
  <si>
    <t>Indicator Name/label</t>
  </si>
  <si>
    <t>Data collection technique</t>
  </si>
  <si>
    <t>Recommended source</t>
  </si>
  <si>
    <t>Notes from indicator owner</t>
  </si>
  <si>
    <t>Shelter</t>
  </si>
  <si>
    <t>Enclosure</t>
  </si>
  <si>
    <t>Humanitarian conditions</t>
  </si>
  <si>
    <t>Living Standards</t>
  </si>
  <si>
    <t>% or HHs currently living in unsustainable shelter situations</t>
  </si>
  <si>
    <t>Shelter Cluster assessments</t>
  </si>
  <si>
    <t>Area: Very few (&lt;10%) of HHs is living in unfinished buildings, collective centres, organized camps, informal settlements, open areas.</t>
  </si>
  <si>
    <t>Settlement</t>
  </si>
  <si>
    <t>KII/HH</t>
  </si>
  <si>
    <t>Area:  Less than 10% of HH are settled in Severe or worse conditions
Household: Household has predictable access to essential (public) services and utilities (water, electricity, sewage), road access is clear, and easy access to functional local markets</t>
  </si>
  <si>
    <t>CCCM</t>
  </si>
  <si>
    <t>Humanitarian Conditions</t>
  </si>
  <si>
    <t>% of population in sites with access to functioning complaints and feedback mechanisms</t>
  </si>
  <si>
    <t>HH survey / KI</t>
  </si>
  <si>
    <t>CCCM Cluster</t>
  </si>
  <si>
    <t>% of population in sites with appropriate site management services</t>
  </si>
  <si>
    <t>KI</t>
  </si>
  <si>
    <t>Protection</t>
  </si>
  <si>
    <t>GBV</t>
  </si>
  <si>
    <t>% of girls / women without access to GBV-related services.</t>
  </si>
  <si>
    <t>Physical and Mental Wellbeing</t>
  </si>
  <si>
    <t>% of girls / boys / women at risk of GBV (sexual violence and forced marriage / reproduction)</t>
  </si>
  <si>
    <t>&lt; 20%</t>
  </si>
  <si>
    <t>20% - 30%</t>
  </si>
  <si>
    <t>30% - 40%</t>
  </si>
  <si>
    <t>40% - 50%</t>
  </si>
  <si>
    <t>&gt; 50%</t>
  </si>
  <si>
    <t>Nutrition</t>
  </si>
  <si>
    <t>Food consumption</t>
  </si>
  <si>
    <t xml:space="preserve">HH survey </t>
  </si>
  <si>
    <t>SMART surveys</t>
  </si>
  <si>
    <t>≥70%</t>
  </si>
  <si>
    <t>40-70%</t>
  </si>
  <si>
    <t>20-40%</t>
  </si>
  <si>
    <t>10-20%</t>
  </si>
  <si>
    <t>&lt;10%</t>
  </si>
  <si>
    <t>GAM</t>
  </si>
  <si>
    <t>Prevalence of Global Acute Malnutrition (GAM) based on Mid-Upper Arm Circumference (MUAC) &lt;125mm and/or bilateral oedema among children 6-59 months</t>
  </si>
  <si>
    <t>Stunting</t>
  </si>
  <si>
    <t>Prevalence of stunting based on height-for-age Z-score (HAZ)&lt;-2 among children 0-59 months</t>
  </si>
  <si>
    <t>10-19.9%</t>
  </si>
  <si>
    <t>20-29.9%</t>
  </si>
  <si>
    <t>≥30%</t>
  </si>
  <si>
    <t>CP</t>
  </si>
  <si>
    <t xml:space="preserve">Number of survivors of GBV provided with a comprehensive response </t>
  </si>
  <si>
    <t>[Available sources CPWG 5W and Call centre data]</t>
  </si>
  <si>
    <t xml:space="preserve">Number of children reached with psychosocial support services </t>
  </si>
  <si>
    <t>Number of children of school going age who are out of school (age 3-17)</t>
  </si>
  <si>
    <t>WASH</t>
  </si>
  <si>
    <t>Sanitation</t>
  </si>
  <si>
    <t>% of HHs facing environmental sanitation problems (living in areas where solid waste, waterwaste, open defecation was visible around their accommodation - 30 meters or less)</t>
  </si>
  <si>
    <t>No environmental hazard was always visible</t>
  </si>
  <si>
    <t>At least one environmental hazard was always visible</t>
  </si>
  <si>
    <t>At least two environmental hazards were always visible</t>
  </si>
  <si>
    <t>At least three environmental hazards were always visible</t>
  </si>
  <si>
    <t>At least four environmental hazards were always visible</t>
  </si>
  <si>
    <t>Water</t>
  </si>
  <si>
    <t>% of HHs having access to water sources of sufficient quality and availability</t>
  </si>
  <si>
    <t>Water comes from an improved water source which is located on premises</t>
  </si>
  <si>
    <t>Water comes from an improved water source, provided collection time is not more than 30 minutes for a roundtrip, including queuing</t>
  </si>
  <si>
    <t>Water comes from an improved source for which collection time exceeds 30 minutes for a roundtrip, including queuing</t>
  </si>
  <si>
    <t>Water comes from an unimproved water source</t>
  </si>
  <si>
    <t>Water comes directly from rivers, lakes, ponds, etc.</t>
  </si>
  <si>
    <t>Education</t>
  </si>
  <si>
    <t>Access and learning environment</t>
  </si>
  <si>
    <t>% children not attending school by sex and school-level (as a result of the crisis)</t>
  </si>
  <si>
    <t>WASH in schools</t>
  </si>
  <si>
    <t>% children in schools without access to an improved drinking water source</t>
  </si>
  <si>
    <t>School feeding in schools</t>
  </si>
  <si>
    <t>% of children not receiving school feeding school by sex and school-level (as a result of the crisis)</t>
  </si>
  <si>
    <t>Food Security</t>
  </si>
  <si>
    <t>HH survey</t>
  </si>
  <si>
    <t>2020 Population projection base on 2012 Census with gender and age-breakdown by District, including key population classes</t>
  </si>
  <si>
    <t>Age Group 6 to 23 months</t>
  </si>
  <si>
    <t>Children &lt;5 2020 projection2</t>
  </si>
  <si>
    <t>Children 6 - 23 months 2020 projection</t>
  </si>
  <si>
    <t>Returnees / Migrants Female</t>
  </si>
  <si>
    <t>Returnees / Migrants Male</t>
  </si>
  <si>
    <t>Total Returnees / Migrants</t>
  </si>
  <si>
    <t>Health</t>
  </si>
  <si>
    <t>Child Health</t>
  </si>
  <si>
    <t>Coverage of DTC3 (DPT3 / PENTA3) in &lt; 1 year old, by administrative unit</t>
  </si>
  <si>
    <t>HMIS/HIS, Survey</t>
  </si>
  <si>
    <t>&gt;= 95%</t>
  </si>
  <si>
    <t>90% &lt; 95%</t>
  </si>
  <si>
    <t>85% &lt; 89%</t>
  </si>
  <si>
    <t>80% &lt; 84%</t>
  </si>
  <si>
    <t>&lt; = 80%</t>
  </si>
  <si>
    <t>Communicable and Non Communicable Diseases</t>
  </si>
  <si>
    <t>Number of cases or incidence rates for selected diseases relevant to the local context (diarrhoea</t>
  </si>
  <si>
    <t>EWARS, IRA, RHA prospective HF based surveillance</t>
  </si>
  <si>
    <t>Sexual Reproductive Health</t>
  </si>
  <si>
    <t>Number of skilled birth attendant personnel (doctors, nurses, certified midwives) per 10,000 people</t>
  </si>
  <si>
    <t>HeRAMS</t>
  </si>
  <si>
    <t>NFI/Shelter</t>
  </si>
  <si>
    <t>Protection/GBV</t>
  </si>
  <si>
    <t>Protection/CP</t>
  </si>
  <si>
    <t>CP_Severity</t>
  </si>
  <si>
    <t>CP_PiN</t>
  </si>
  <si>
    <t>CCCM_Severity</t>
  </si>
  <si>
    <t>CCCM_PiN</t>
  </si>
  <si>
    <t>WASH_Severity</t>
  </si>
  <si>
    <t>WASH_PiN</t>
  </si>
  <si>
    <t xml:space="preserve">% of HH with no access to adequate housing space </t>
  </si>
  <si>
    <t>Humanitarian Condition Severity</t>
  </si>
  <si>
    <t>MSNA / Protection Monitoring</t>
  </si>
  <si>
    <t>All household members have valid documentation, including birth certificate, ID card and passport</t>
  </si>
  <si>
    <t>All household members have valid documentation, including birth certificate and ID card</t>
  </si>
  <si>
    <t>At least one member of the HH don’t have valid ID card or passport but can obtain new ones</t>
  </si>
  <si>
    <t>At least one member of the HH don’t have valid ID card or passport and can’t obtain new ones</t>
  </si>
  <si>
    <t>At least one member of the HH don’t have birth certificate</t>
  </si>
  <si>
    <t>Protection Monitoring</t>
  </si>
  <si>
    <t>&lt; 30%</t>
  </si>
  <si>
    <t>30% - 45%</t>
  </si>
  <si>
    <t>45% - 60%</t>
  </si>
  <si>
    <t>60% - 75%</t>
  </si>
  <si>
    <t>&gt; 75%</t>
  </si>
  <si>
    <t>2020 Population Projection</t>
  </si>
  <si>
    <t>% of HHs not having access to water sources of sufficient quality and availability</t>
  </si>
  <si>
    <t>Men and Boys (15-49 yrs) 2020 projection</t>
  </si>
  <si>
    <t>Residents</t>
  </si>
  <si>
    <t>Returnee Migrants</t>
  </si>
  <si>
    <t>Refugees</t>
  </si>
  <si>
    <t>Column1</t>
  </si>
  <si>
    <t>Coverage of DTC3 (DPT3 / PENTA3) in &lt; 1 year old, by administrative unit2</t>
  </si>
  <si>
    <t>Critical Indicators (Final Severity scores</t>
  </si>
  <si>
    <t>Number of children reached with psychosocial support services</t>
  </si>
  <si>
    <t>% of HH members without valid civil documentation and unable to obtain them</t>
  </si>
  <si>
    <t>% of population in specific groups excluded or with limited access to services (i.e. UASC, persons with disabilities, older persons, minority groups, etc.)</t>
  </si>
  <si>
    <t>% of population in sites/communities reporting protection incidents in the last 3 months</t>
  </si>
  <si>
    <t>Refugees &amp; Asylum seekers</t>
  </si>
  <si>
    <t>Humanitarian Condition PiN</t>
  </si>
  <si>
    <t>Child Protection</t>
  </si>
  <si>
    <t>Education MIS enrollement 2019 data, ZIMSTATS 2019and  3-18 years children population provided by Education Cluster</t>
  </si>
  <si>
    <t>District severity  and PiNs estimated by calculating the child enrolment rates based on 2019 age dissagregated population figures of school going children (3-18 years old) in 2019. [2020 enrollement figures currently are not available].Severity scores categorized as Minimal (1) &lt; 10%,Stress (2) 10%-20%,Severe (3) 20-30%,Extreme (4) 30-40% and Catastrophic (5) &gt;50%._x001F_</t>
  </si>
  <si>
    <t xml:space="preserve"> 2020 Children &gt;18 years projections provided by UNOCHA and ZIMVAC 2020 preliminary results released in September</t>
  </si>
  <si>
    <t>% of girls / boys at risk of SGBV and VAC</t>
  </si>
  <si>
    <t xml:space="preserve">District severity and PINs estimates calculated based on Food insecurity [ ZIMVAC Rural 2020 assessment],2020 children under 18 population estimates and available data on sexual and gender based violence (SGBV) and Violence against children (VAC) from child protection partners and the Child helpline.Severity scores categorized as Minimal (1)  &lt; 10%,Stress (2) 10%-20%,Severe (3) 20-30%,Extreme (4) 30-40% and Catastrophic (5) &gt;50% </t>
  </si>
  <si>
    <t>% girls/boys reporting signs of distress (self diagnosed)</t>
  </si>
  <si>
    <t xml:space="preserve">District severity  and PINs  estimates calculated based on Food insecurity [ ZIMVAC Rural 2020 assessment],2020 children under 18 population estimates and available data on mental health and psychosocial support from child protection partners and the Child helpline.Severity scores categorized as Minimal (1)  &lt; 10%,Stress (2) 10%-20%,Severe (3) 20-30%,Extreme (4) 30-40% and Catastrophic (5) &gt;50% </t>
  </si>
  <si>
    <t>% of girls / boys not regularly attending school</t>
  </si>
  <si>
    <t xml:space="preserve">Overall PIN: </t>
  </si>
  <si>
    <t>The overall People in need (PiN) across the three indicators was estimated in three steps;1) Districts with severity 3,4,5 score were selected across the three indicators (districts which scored 1 and 2 were not included in total population in need estimates) 2)Total district PINs across the three indicators added for 50 priority districts 3)Verification that the final district level PiN does not exceed the total children under 18 population figures for that district.The overall PIN 2,200,000 constitutes 15% (7.5% boys,7.5% girls) children under 5 (and 7% children with disabilites (3.5% boys,3.5% girls) and 1% children living with HIV (0.5% boys,0.5% girls)</t>
  </si>
  <si>
    <t xml:space="preserve">Overall Severity : </t>
  </si>
  <si>
    <t xml:space="preserve">Average score taken for indicator 1,2 &amp;3 </t>
  </si>
  <si>
    <t>EMIS 2019 and Population Projections for 3 - 18yrs</t>
  </si>
  <si>
    <t>Percentage figure defined based on EMIS 2019 data that was conducted across Zimbabwe. The percentage values were calculated based on enrollment data and children in the schools who are enrolled as proxy for attendance against Population Projections of learners aged 3 to 18years covering ECD A to Secondary level Form 6 learners.</t>
  </si>
  <si>
    <t>EMIS 2019</t>
  </si>
  <si>
    <t>Percentage figure defined based on EMIS 2019 data that was conducted across Zimbabwe. The percentage values were calculated based on enrollment data and children in the schools who have access to water.</t>
  </si>
  <si>
    <t>Percentage figure defined based on EMIS 2019 data that was conducted across Zimbabwe. The percentage values were calculated based on enrollment data and children in the schools who are receiving school feeding.</t>
  </si>
  <si>
    <t>Caseload: Total estimated number of women and girls 15-49yrs at risk of GBV (Based on MICS 2019 data on Estimated number of women and girls 15-49yrs who experienced physical or sexual violence  in the past 12 months). (Same rationale applies to males by using methodology as per indicator 2)</t>
  </si>
  <si>
    <t>PIN:  calculated by multipying caseload by estimated % of survivors with no access to GBV  services</t>
  </si>
  <si>
    <t>Severity:  Applied expert judgement to define the severity ranges, by combining number of available services (Service provider mapping) and rates of constrained access to services (ZIMVAC). The more the number of services the more the chances  of accessing more services at the same rate of constrained access (Rural areas). For urban areas, as no data was available from ZIMVAC on constrained access, expert judgement was applied only, by utilising the number of available services and the 25% rule.</t>
  </si>
  <si>
    <t>Total number of districts with Severe to Catastrophic severity: 92</t>
  </si>
  <si>
    <t>Total districts with  Severity 3: 0</t>
  </si>
  <si>
    <t xml:space="preserve">                                    Severity 4: 9</t>
  </si>
  <si>
    <t xml:space="preserve">                                    Severity 5: 83</t>
  </si>
  <si>
    <t>Caseload: Total number of women and girls 15-49 yrs (Total population data)</t>
  </si>
  <si>
    <t>Total number of districts with Severe to Catastrophic severity: 79</t>
  </si>
  <si>
    <t>Total districts with  Severity 3: 24</t>
  </si>
  <si>
    <t xml:space="preserve">                                    Severity 4: 45</t>
  </si>
  <si>
    <t xml:space="preserve">                                    Severity 5: 10</t>
  </si>
  <si>
    <t xml:space="preserve">Data Source:  </t>
  </si>
  <si>
    <t>a) ZIMVAC for % of survivors with no access to GBV services.   b) Service providers mapping on availability of multi-sectoral GBV services (health, VFU, OSCs, shelters) (Rural areas)
a) Service providers mapping on availability of multi-sectoral GBV services. B) Partners assessments on accessibility of existing services (Urban areas)</t>
  </si>
  <si>
    <t xml:space="preserve"> MICS 2019, ZIMVAC 2020, COVID19 Service providers assessments </t>
  </si>
  <si>
    <t xml:space="preserve"> d) Applying an additional 10% rate of execerbated risk of GBV to reflect the impact of COVID-19 (Expert judgement based on service provider data) </t>
  </si>
  <si>
    <t xml:space="preserve"> c) Applying % women and girls 15-49 at risk of GBV including those who are cereal insecure (Based on MICS 2019 data on Estimated number of women and girls 15-49 who experienced physical or sexual violence  in the past 12 months)</t>
  </si>
  <si>
    <t>b)  Derived from (a) the total number of women and girls 15-49 at risk of GBV including those who are cereal insecure</t>
  </si>
  <si>
    <t xml:space="preserve"> a) Applying the % of households with cereal insecurity (ZIMVAC) </t>
  </si>
  <si>
    <t xml:space="preserve">PIN: Calculated by : </t>
  </si>
  <si>
    <t xml:space="preserve">e) Applying the same rationale for boys and men. % of boys and men at risk of GBV was calculated by applying an average rate between data from GBV hotline and mobile OSC </t>
  </si>
  <si>
    <t>Average severity of the two indicators.</t>
  </si>
  <si>
    <t xml:space="preserve">Final severity: </t>
  </si>
  <si>
    <t xml:space="preserve"> The total PIN for indicator 2.</t>
  </si>
  <si>
    <t xml:space="preserve">Final PIN: </t>
  </si>
  <si>
    <t>There is a total of 35,186 IDPs currently leaving displaced, whitinh Host communities and 4IDPs camps according with our last Baseline Assesment conducted in July 2020. In comparison with our previous Baseline assessment conducted in December 2019 where there were 43,352 IDPs, approximatly 8,166 have been supported with Shelter assistance, mainly in Buhera, Chipingue and Chimanimani. IOM from our previous HRP has received funds to cover approximately 3,370 more (224 HH of IDPS in camps, 250 HH in Chimanimani and 200 HH in Chipingue)</t>
  </si>
  <si>
    <t xml:space="preserve">Explanations: </t>
  </si>
  <si>
    <t xml:space="preserve">INDICATOR PiN: </t>
  </si>
  <si>
    <t>NFI/Shelter Indicator 1 &amp;2 and CCCM indicator 1&amp;2</t>
  </si>
  <si>
    <t>Calculated number of children with wasting based on MUAC GAM prevalence for rural districts</t>
  </si>
  <si>
    <t>Calculated number of children with wasting based on W/H GAM prevalence for urban districts</t>
  </si>
  <si>
    <t>Sverity scores are generally low for GAM in Zimbabwe-may consider all GAM as levels 3 and above</t>
  </si>
  <si>
    <t>Proposing reconfiguration of severity scores on the GAM indicator to reflect need</t>
  </si>
  <si>
    <t>Interventions for GAM are mainly centred on IMAM, IYCF and nutrition promotion actvities</t>
  </si>
  <si>
    <t>Calculated number of children (6-23 months) based on MAD prevalence for rural districts</t>
  </si>
  <si>
    <t>Calculated number of children (6-23 months) based on MAD prevalence for Urban districts</t>
  </si>
  <si>
    <t>Generally low levels of MAD imply a huge number of children in need of an intervention-likely IEC, Nutrition promotion activities</t>
  </si>
  <si>
    <t>Total no of under 2's is proxy of caregivers to be reached with nutrition promotion interventions</t>
  </si>
  <si>
    <t>National Nutrition Survey 2018</t>
  </si>
  <si>
    <t>Calculated number of children with stunting based on prevalence both rural and urban districts</t>
  </si>
  <si>
    <t>Stunting indicator doesn’t move that much, likely minimal change since last assessment in 2018</t>
  </si>
  <si>
    <t>Generally high levels of stunting imply a huge number of children in need of a combination of interventions-likely Acute malnutrition treatment and IEC, Nutrition promotion activities</t>
  </si>
  <si>
    <t>FINAL PIN</t>
  </si>
  <si>
    <t>Used modified GAM severity scale to determine severity, selected all severity 3 and above</t>
  </si>
  <si>
    <t>Final PiN used is for stunting in sverity 3 and above</t>
  </si>
  <si>
    <t>Final severity is based on GAM severity regarless of Stunting severity</t>
  </si>
  <si>
    <t>ZiMVAC 2020 (Rural data) ZIMVAC 2019 (Urban data)</t>
  </si>
  <si>
    <t>Minimum Acceptable Diet (6-23 months), 1,237,122 National average 2.1%</t>
  </si>
  <si>
    <t>Wasting (&lt;5years), 60,677 National average 3.8%</t>
  </si>
  <si>
    <t>Stunting (Under 5's), 650,658 National average 27%</t>
  </si>
  <si>
    <t>ZIMVAC RLA 2020, ZIMVAC ULA, 2019, RWIMS data, September 2020</t>
  </si>
  <si>
    <t xml:space="preserve">ZIMVAC RLA, 2019, SLB 2018 Report, </t>
  </si>
  <si>
    <t>Assumption</t>
  </si>
  <si>
    <t>The 2020/21 seasonal rainfall forecast for Zimbabwe, as informed by the Meteorological Services department (MSD) and the Zimbabwe National Climate Outlook Forum (NARCOF) predicts a normal to above normal rainfall season for the whole country. A factor of 25% was factored in anticipation of good underground water and surface water recharge during the first quarter of 2021</t>
  </si>
  <si>
    <t>Severity thresholes</t>
  </si>
  <si>
    <t>NFI/Shelter/CCCM</t>
  </si>
  <si>
    <t xml:space="preserve">2020 Inter-cluster Response </t>
  </si>
  <si>
    <t>Overall Intersectorial Final PiN</t>
  </si>
  <si>
    <t>3</t>
  </si>
  <si>
    <t>1</t>
  </si>
  <si>
    <t>2</t>
  </si>
  <si>
    <t>4</t>
  </si>
  <si>
    <t>Population groups</t>
  </si>
  <si>
    <t>CLUSTER Specific PiNs</t>
  </si>
  <si>
    <t>&lt; 10%</t>
  </si>
  <si>
    <t>10%-20%</t>
  </si>
  <si>
    <t xml:space="preserve"> 20-30%</t>
  </si>
  <si>
    <t>30-40%</t>
  </si>
  <si>
    <t xml:space="preserve"> &gt;50%</t>
  </si>
  <si>
    <t>0% - 5%</t>
  </si>
  <si>
    <t>5% - 10%</t>
  </si>
  <si>
    <t>10% - 20%</t>
  </si>
  <si>
    <t>&gt;30%</t>
  </si>
  <si>
    <t>10% - 15%</t>
  </si>
  <si>
    <t>15% - 20%</t>
  </si>
  <si>
    <t>&gt; 20%</t>
  </si>
  <si>
    <t>1.86% - 20.5%</t>
  </si>
  <si>
    <t>20.5% - 39%</t>
  </si>
  <si>
    <t>39% -57.5%</t>
  </si>
  <si>
    <t>57.5% -76.3%</t>
  </si>
  <si>
    <t>76.3% - 100%</t>
  </si>
  <si>
    <t>EMIS 2019 Enrollment Data (3 - 18 Yrs)</t>
  </si>
  <si>
    <t>Minimal (1) (Up to 4 services)</t>
  </si>
  <si>
    <t>Stress (2) (Up to 3 services)</t>
  </si>
  <si>
    <t>Severe (3) (Up to 2 services)</t>
  </si>
  <si>
    <t>Extreme (4) (1 service available)</t>
  </si>
  <si>
    <t>Catastrophic (5) (No GBV services)</t>
  </si>
  <si>
    <t>0-29%</t>
  </si>
  <si>
    <t>30-34%</t>
  </si>
  <si>
    <t>35-39%</t>
  </si>
  <si>
    <t>40-43%</t>
  </si>
  <si>
    <t>44% and above</t>
  </si>
  <si>
    <t xml:space="preserve">MICS 2019, ZIMVAC 2020, COVID19 Service providers assessments </t>
  </si>
  <si>
    <t>ZIMVAC for % of survivors with no access to GBV services.   b) Service providers mapping on availability of multi-sectoral GBV services (health, VFU, OSCs, shelters) (Rural areas)</t>
  </si>
  <si>
    <t xml:space="preserve">2000 &lt; </t>
  </si>
  <si>
    <t>2000 &lt; 4000</t>
  </si>
  <si>
    <t>4000 &lt; 6000</t>
  </si>
  <si>
    <t>6000 &lt; 8000</t>
  </si>
  <si>
    <t>&lt; = 8000</t>
  </si>
  <si>
    <t>&gt;= 1000</t>
  </si>
  <si>
    <t>500 &lt; 1000</t>
  </si>
  <si>
    <t>200 &lt; 500</t>
  </si>
  <si>
    <t>150  &lt; 200</t>
  </si>
  <si>
    <t>0 &lt; 150</t>
  </si>
  <si>
    <t>Area:  20% of HHs live in unfinished buildings, collective centres, organized camps, informal settlements, open areas</t>
  </si>
  <si>
    <t>Area: 50% of HHs live in unfinished buildings, collective centres, organized camps, informal settlements, open areas</t>
  </si>
  <si>
    <t>Area: Over 50% to 80% of HHs live in unfinished buildings, collective centres, organized camps, informal settlements, open areas</t>
  </si>
  <si>
    <t>Area: Over 80%- 100% of HHs live in unfinished buildings, collective centres, organized camps, informal settlements, open areas</t>
  </si>
  <si>
    <t>Area:  20% of HH are settled in Severe or worse conditions
Household:  Household is lightly impaired through (predictable) disruptions to essential services</t>
  </si>
  <si>
    <t>Area:  50% of HH are settled in Severe or worse conditions
Household: Household is moderately impaired by substantial disruptions to essential services or utilities, road access and accessibility to markets</t>
  </si>
  <si>
    <t>Area:50% - 80% of HH are settled in Extreme or Catastrophic conditions
Household: Household is severely impaired by disruptions to services, utilities, road access and market functionality.</t>
  </si>
  <si>
    <t>Area: More than 80% - 100% of HH are settled in Extreme or Catastrophic conditions
Household: Household is completely impaired through isolation from all essential services, road access, and market access</t>
  </si>
  <si>
    <t xml:space="preserve"> 30 - 50%</t>
  </si>
  <si>
    <t>50-80%</t>
  </si>
  <si>
    <t>80-100%</t>
  </si>
  <si>
    <t>&lt;1%</t>
  </si>
  <si>
    <t>1-1.99%</t>
  </si>
  <si>
    <t>2-2.99%</t>
  </si>
  <si>
    <t>&gt;=3%</t>
  </si>
  <si>
    <t>HH Survey/KI [Available sources CPWG 5W and Call centre data]</t>
  </si>
  <si>
    <t>HH Survey/KI [Available source Education MIS database]</t>
  </si>
  <si>
    <t>Refugee</t>
  </si>
  <si>
    <t>JIAF Severity score</t>
  </si>
  <si>
    <t>Rural ZimVAC 2020, Urban ZimVAC 2019</t>
  </si>
  <si>
    <t>re-vamped 2019 urban ZimVAC data, using fresh information on income losses and prices</t>
  </si>
  <si>
    <t>Number of cases or incidence rates for selected diseases relevant to the local context (diarrhoea)</t>
  </si>
  <si>
    <t>GBV-Protection</t>
  </si>
  <si>
    <t>Shelter/NFIs</t>
  </si>
  <si>
    <t>Protection - Refugee</t>
  </si>
  <si>
    <t>GBV - Protection</t>
  </si>
  <si>
    <t xml:space="preserve"> </t>
  </si>
  <si>
    <t>Minimum Acceptable Diet in children 6 to 23 months and PLW</t>
  </si>
  <si>
    <t>SAM</t>
  </si>
  <si>
    <t>MAM</t>
  </si>
  <si>
    <t>IPC 3 and 4</t>
  </si>
  <si>
    <t>IPC 3</t>
  </si>
  <si>
    <t>IPC 4</t>
  </si>
  <si>
    <t>IPC Analysis Population Projection</t>
  </si>
  <si>
    <t>IPC</t>
  </si>
  <si>
    <t>Nut. Targets</t>
  </si>
  <si>
    <t>CCCM Target</t>
  </si>
  <si>
    <t>CCCM_Target</t>
  </si>
  <si>
    <t>NFI/S Targets</t>
  </si>
  <si>
    <t>CCCM Male</t>
  </si>
  <si>
    <t>CCCM Female</t>
  </si>
  <si>
    <t>CP Target</t>
  </si>
  <si>
    <t>Boys</t>
  </si>
  <si>
    <t>Girls</t>
  </si>
  <si>
    <t>CP Boys</t>
  </si>
  <si>
    <t>CP Girls</t>
  </si>
  <si>
    <t>Education Target</t>
  </si>
  <si>
    <t>Edu. Boys</t>
  </si>
  <si>
    <t>Edu. Girls</t>
  </si>
  <si>
    <t>FSC Targets</t>
  </si>
  <si>
    <t>FSC Male</t>
  </si>
  <si>
    <t>FSC Female</t>
  </si>
  <si>
    <t>GBV Targets</t>
  </si>
  <si>
    <t>GBV Male</t>
  </si>
  <si>
    <t>GBV Female</t>
  </si>
  <si>
    <t>Health Targets</t>
  </si>
  <si>
    <t>Health Male</t>
  </si>
  <si>
    <t>Health Female</t>
  </si>
  <si>
    <t>NFI/S Male</t>
  </si>
  <si>
    <t>NFI/S Female</t>
  </si>
  <si>
    <t>WASH Targets</t>
  </si>
  <si>
    <t>WASH Male</t>
  </si>
  <si>
    <t>WASH Female</t>
  </si>
  <si>
    <t>Refugee Targets</t>
  </si>
  <si>
    <t>Refugee Male</t>
  </si>
  <si>
    <t>Refugee Female</t>
  </si>
  <si>
    <t xml:space="preserve">Children &lt;5 Male </t>
  </si>
  <si>
    <t>Children &lt;5 Female</t>
  </si>
  <si>
    <t>PLW</t>
  </si>
  <si>
    <t>Overall Intersectorial PiN</t>
  </si>
  <si>
    <t>PWD</t>
  </si>
  <si>
    <t>Overall Intersectorial Final Target</t>
  </si>
  <si>
    <t>Urban</t>
  </si>
  <si>
    <t>Rural</t>
  </si>
  <si>
    <t>Population Groups</t>
  </si>
  <si>
    <t>CP_Target</t>
  </si>
  <si>
    <t>Education Severity</t>
  </si>
  <si>
    <t>Education PiN</t>
  </si>
  <si>
    <t>FSC Severity</t>
  </si>
  <si>
    <t>FSC PiN</t>
  </si>
  <si>
    <t>FSC Target</t>
  </si>
  <si>
    <t>Nutrition Severity</t>
  </si>
  <si>
    <t>Nutrition PiN</t>
  </si>
  <si>
    <t>Nutrition Target</t>
  </si>
  <si>
    <t>Shelter/NFIs Severity</t>
  </si>
  <si>
    <t>Shelter/NFIs PiN</t>
  </si>
  <si>
    <t>Shelter/NFIs Target</t>
  </si>
  <si>
    <t>Protection/GBV Severity</t>
  </si>
  <si>
    <t>Protection/GBV PiN</t>
  </si>
  <si>
    <t>Protection/GBV Target</t>
  </si>
  <si>
    <t>Health Severity</t>
  </si>
  <si>
    <t>Health PiN</t>
  </si>
  <si>
    <t>Health Target</t>
  </si>
  <si>
    <t>Feb</t>
  </si>
  <si>
    <t>Mar</t>
  </si>
  <si>
    <t>Apr</t>
  </si>
  <si>
    <t>May</t>
  </si>
  <si>
    <t>Jun</t>
  </si>
  <si>
    <t>Jul</t>
  </si>
  <si>
    <t>Aug</t>
  </si>
  <si>
    <t>Province</t>
  </si>
  <si>
    <t>District</t>
  </si>
  <si>
    <t>Norton</t>
  </si>
  <si>
    <t>Matabeleland North</t>
  </si>
  <si>
    <t>BeitBridge</t>
  </si>
  <si>
    <t>Gwanda</t>
  </si>
  <si>
    <t>Gweru</t>
  </si>
  <si>
    <t>Sept</t>
  </si>
  <si>
    <t>Oct</t>
  </si>
  <si>
    <t>Nov</t>
  </si>
  <si>
    <t>Dec</t>
  </si>
  <si>
    <t>Projection</t>
  </si>
  <si>
    <t>Overaall Reached</t>
  </si>
  <si>
    <t>Cluster</t>
  </si>
  <si>
    <t>Food Security and Livelihoods (FSL)</t>
  </si>
  <si>
    <t>CCS</t>
  </si>
  <si>
    <t>Amount (US$)</t>
  </si>
  <si>
    <t>General Protection</t>
  </si>
  <si>
    <t>CLUSTERS</t>
  </si>
  <si>
    <t>FSC</t>
  </si>
  <si>
    <t>Protection-CP</t>
  </si>
  <si>
    <t>Protection-GBV</t>
  </si>
  <si>
    <t>TOTAL</t>
  </si>
  <si>
    <t>PiN</t>
  </si>
  <si>
    <t>Targets</t>
  </si>
  <si>
    <t>Inter-cluster PIN</t>
  </si>
  <si>
    <t>Inter-cluster Target</t>
  </si>
  <si>
    <t>HAT</t>
  </si>
  <si>
    <t>PSEA</t>
  </si>
  <si>
    <t>DTM (Displacement tracking matrix) Round 4</t>
  </si>
  <si>
    <t>Integrated Food Security Phase clasification (IPC)</t>
  </si>
  <si>
    <t>FNC/WFP/FAO and Partners</t>
  </si>
  <si>
    <t>Severity</t>
  </si>
  <si>
    <t>Life Threatening</t>
  </si>
  <si>
    <t>Life Sustaining</t>
  </si>
  <si>
    <t xml:space="preserve">   Bulawayo</t>
  </si>
  <si>
    <t xml:space="preserve">   AgeGroups</t>
  </si>
  <si>
    <t>Males</t>
  </si>
  <si>
    <t>Females</t>
  </si>
  <si>
    <t>Children &lt;5</t>
  </si>
  <si>
    <t xml:space="preserve">Children &lt;18 </t>
  </si>
  <si>
    <t>Women and Girls (15-49 yrs)</t>
  </si>
  <si>
    <t>Men and Boys (15-49 yrs)</t>
  </si>
  <si>
    <t>Elderly (65+)</t>
  </si>
  <si>
    <t>0 - 4</t>
  </si>
  <si>
    <t>5 - 9</t>
  </si>
  <si>
    <t>10 - 14</t>
  </si>
  <si>
    <t>15 - 19</t>
  </si>
  <si>
    <t>20 - 24</t>
  </si>
  <si>
    <t>25 - 29</t>
  </si>
  <si>
    <t>30 - 34</t>
  </si>
  <si>
    <t>35 - 39</t>
  </si>
  <si>
    <t>40 - 44</t>
  </si>
  <si>
    <t>45 - 49</t>
  </si>
  <si>
    <t>50 - 54</t>
  </si>
  <si>
    <t>55 - 59</t>
  </si>
  <si>
    <t>60 - 64</t>
  </si>
  <si>
    <t>65 - 69</t>
  </si>
  <si>
    <t>70 - 74</t>
  </si>
  <si>
    <t>75 +</t>
  </si>
  <si>
    <t>NS</t>
  </si>
  <si>
    <t xml:space="preserve">   Manicaland</t>
  </si>
  <si>
    <t xml:space="preserve">    AgeGroups</t>
  </si>
  <si>
    <t xml:space="preserve">   Mashonaland Central</t>
  </si>
  <si>
    <t xml:space="preserve">   Mashonaland East</t>
  </si>
  <si>
    <t xml:space="preserve">   Mashonaland West</t>
  </si>
  <si>
    <t xml:space="preserve">   Matabeleland North</t>
  </si>
  <si>
    <t xml:space="preserve"> AgeGroups</t>
  </si>
  <si>
    <t xml:space="preserve">   Matabeleland South</t>
  </si>
  <si>
    <t xml:space="preserve">   Midlands</t>
  </si>
  <si>
    <t xml:space="preserve">   Masvingo</t>
  </si>
  <si>
    <t xml:space="preserve">   Harare</t>
  </si>
  <si>
    <t>Zimbabwe</t>
  </si>
  <si>
    <t>10 -14</t>
  </si>
  <si>
    <t>Male%</t>
  </si>
  <si>
    <t>Female %</t>
  </si>
  <si>
    <t>Men</t>
  </si>
  <si>
    <t>Women</t>
  </si>
  <si>
    <t>Children</t>
  </si>
  <si>
    <t>Adults</t>
  </si>
  <si>
    <t>Elderly</t>
  </si>
  <si>
    <t>Boys %</t>
  </si>
  <si>
    <t>Girls %</t>
  </si>
  <si>
    <t>Men %</t>
  </si>
  <si>
    <t>Women %</t>
  </si>
  <si>
    <t>Children %</t>
  </si>
  <si>
    <t>Children &lt;15</t>
  </si>
  <si>
    <t>Children &lt;15 Male</t>
  </si>
  <si>
    <t>Children &lt;15 Female</t>
  </si>
  <si>
    <t>Adults %</t>
  </si>
  <si>
    <t>Elderly %</t>
  </si>
  <si>
    <t>Gap</t>
  </si>
  <si>
    <t>Target</t>
  </si>
  <si>
    <t>Integrated Food Security Phase Classification</t>
  </si>
  <si>
    <t>Overall Protection PiN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</si>
</sst>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 #,##0.00_-;_-* &quot;-&quot;??_-;_-@_-"/>
    <numFmt numFmtId="165" formatCode="_-&quot;£&quot;* #,##0.00_-;\-&quot;£&quot;* #,##0.00_-;_-&quot;£&quot;* &quot;-&quot;??_-;_-@_-"/>
    <numFmt numFmtId="166" formatCode="_-* #,##0_-;\-* #,##0_-;_-* &quot;-&quot;??_-;_-@_-"/>
  </numFmts>
  <fonts count="61" x14ac:knownFonts="1">
    <font>
      <sz val="11"/>
      <color theme="1"/>
      <name val="Calibri"/>
      <family val="2"/>
      <scheme val="minor"/>
    </font>
    <font>
      <sz val="11"/>
      <color theme="1"/>
      <name val="Calibri"/>
      <family val="2"/>
      <scheme val="minor"/>
    </font>
    <font>
      <sz val="10"/>
      <name val="Arial"/>
      <family val="2"/>
    </font>
    <font>
      <b/>
      <sz val="10"/>
      <color theme="4" tint="-0.249977111117893"/>
      <name val="Calibri Light"/>
      <family val="2"/>
      <charset val="204"/>
      <scheme val="major"/>
    </font>
    <font>
      <sz val="10"/>
      <name val="Calibri Light"/>
      <family val="2"/>
      <scheme val="major"/>
    </font>
    <font>
      <sz val="10"/>
      <color theme="1"/>
      <name val="Calibri Light"/>
      <family val="2"/>
      <scheme val="major"/>
    </font>
    <font>
      <sz val="10"/>
      <name val="Arial"/>
      <family val="2"/>
    </font>
    <font>
      <b/>
      <sz val="11"/>
      <color theme="1"/>
      <name val="Calibri"/>
      <family val="2"/>
      <scheme val="minor"/>
    </font>
    <font>
      <b/>
      <sz val="10"/>
      <color theme="0"/>
      <name val="Calibri Light"/>
      <family val="2"/>
      <charset val="204"/>
      <scheme val="major"/>
    </font>
    <font>
      <b/>
      <sz val="10"/>
      <color theme="1"/>
      <name val="Arial"/>
      <family val="2"/>
    </font>
    <font>
      <b/>
      <sz val="10"/>
      <color rgb="FFFFFFFF"/>
      <name val="Arial"/>
      <family val="2"/>
    </font>
    <font>
      <sz val="8"/>
      <name val="Calibri"/>
      <family val="2"/>
      <scheme val="minor"/>
    </font>
    <font>
      <b/>
      <sz val="11"/>
      <color rgb="FF0070C0"/>
      <name val="Calibri"/>
      <family val="2"/>
    </font>
    <font>
      <sz val="11"/>
      <color theme="1"/>
      <name val="Calibri"/>
      <family val="2"/>
    </font>
    <font>
      <u/>
      <sz val="11"/>
      <color rgb="FF1155CC"/>
      <name val="Arial"/>
      <family val="2"/>
    </font>
    <font>
      <b/>
      <sz val="11"/>
      <color theme="1"/>
      <name val="Calibri"/>
      <family val="2"/>
    </font>
    <font>
      <b/>
      <sz val="11"/>
      <name val="Arial"/>
      <family val="2"/>
    </font>
    <font>
      <i/>
      <sz val="11"/>
      <color theme="1"/>
      <name val="Calibri"/>
      <family val="2"/>
    </font>
    <font>
      <b/>
      <i/>
      <sz val="11"/>
      <color theme="1"/>
      <name val="Calibri"/>
      <family val="2"/>
    </font>
    <font>
      <i/>
      <sz val="11"/>
      <color rgb="FF7F7F7F"/>
      <name val="Calibri"/>
      <family val="2"/>
    </font>
    <font>
      <sz val="11"/>
      <color rgb="FF7F7F7F"/>
      <name val="Calibri"/>
      <family val="2"/>
    </font>
    <font>
      <sz val="11"/>
      <name val="Arial"/>
      <family val="2"/>
    </font>
    <font>
      <b/>
      <sz val="11"/>
      <color rgb="FF000000"/>
      <name val="Arial"/>
      <family val="2"/>
    </font>
    <font>
      <sz val="12"/>
      <color theme="1"/>
      <name val="Calibri"/>
      <family val="2"/>
    </font>
    <font>
      <sz val="11"/>
      <color theme="1"/>
      <name val="Calibri"/>
      <family val="2"/>
    </font>
    <font>
      <sz val="10"/>
      <color rgb="FF434343"/>
      <name val="Arial"/>
      <family val="2"/>
    </font>
    <font>
      <sz val="10"/>
      <color theme="1"/>
      <name val="Arial"/>
      <family val="2"/>
    </font>
    <font>
      <sz val="10"/>
      <color rgb="FF000000"/>
      <name val="Arial"/>
      <family val="2"/>
    </font>
    <font>
      <sz val="10"/>
      <color rgb="FFFF0000"/>
      <name val="Arial"/>
      <family val="2"/>
    </font>
    <font>
      <sz val="11"/>
      <color rgb="FF000000"/>
      <name val="Calibri"/>
      <family val="2"/>
    </font>
    <font>
      <b/>
      <sz val="16"/>
      <name val="Calibri Light"/>
      <family val="2"/>
      <scheme val="major"/>
    </font>
    <font>
      <b/>
      <sz val="14"/>
      <color theme="0"/>
      <name val="Calibri Light"/>
      <family val="2"/>
      <scheme val="major"/>
    </font>
    <font>
      <b/>
      <sz val="12"/>
      <name val="Avenir Next LT Pro"/>
      <family val="2"/>
    </font>
    <font>
      <b/>
      <sz val="12"/>
      <color theme="0"/>
      <name val="Avenir Next LT Pro"/>
      <family val="2"/>
    </font>
    <font>
      <sz val="10"/>
      <color theme="0"/>
      <name val="Avenir Next LT Pro Light"/>
      <family val="2"/>
    </font>
    <font>
      <b/>
      <sz val="10"/>
      <color theme="1"/>
      <name val="Calibri Light"/>
      <family val="2"/>
      <scheme val="major"/>
    </font>
    <font>
      <sz val="10"/>
      <color theme="0"/>
      <name val="Calibri Light"/>
      <family val="2"/>
      <scheme val="major"/>
    </font>
    <font>
      <b/>
      <sz val="14"/>
      <color theme="0"/>
      <name val="Roboto Condensed"/>
    </font>
    <font>
      <b/>
      <sz val="10"/>
      <color theme="4" tint="-0.249977111117893"/>
      <name val="Roboto Light"/>
    </font>
    <font>
      <b/>
      <sz val="8"/>
      <color theme="0"/>
      <name val="Roboto Light"/>
    </font>
    <font>
      <sz val="8"/>
      <color theme="0"/>
      <name val="Roboto Light"/>
    </font>
    <font>
      <b/>
      <sz val="10"/>
      <name val="Calibri Light"/>
      <family val="2"/>
      <scheme val="major"/>
    </font>
    <font>
      <b/>
      <sz val="20"/>
      <color rgb="FF4472C4"/>
      <name val="Calibri"/>
      <family val="2"/>
    </font>
    <font>
      <b/>
      <sz val="12"/>
      <color theme="0"/>
      <name val="Roboto Condensed Light"/>
    </font>
    <font>
      <b/>
      <sz val="11"/>
      <color rgb="FFFF0000"/>
      <name val="Calibri"/>
      <family val="2"/>
      <scheme val="minor"/>
    </font>
    <font>
      <sz val="11"/>
      <color rgb="FFFF0000"/>
      <name val="Calibri"/>
      <family val="2"/>
      <scheme val="minor"/>
    </font>
    <font>
      <b/>
      <sz val="12"/>
      <name val="Calibri Light"/>
      <family val="2"/>
      <scheme val="major"/>
    </font>
    <font>
      <b/>
      <sz val="12"/>
      <name val="Roboto Light"/>
    </font>
    <font>
      <sz val="10"/>
      <name val="Roboto Condensed Light"/>
    </font>
    <font>
      <sz val="11"/>
      <name val="Roboto Condensed Light"/>
    </font>
    <font>
      <sz val="9"/>
      <name val="Roboto Condensed Light"/>
    </font>
    <font>
      <sz val="10"/>
      <color theme="0"/>
      <name val="Roboto Condensed Light"/>
    </font>
    <font>
      <sz val="11"/>
      <color theme="0"/>
      <name val="Roboto Condensed Light"/>
    </font>
    <font>
      <b/>
      <sz val="12"/>
      <color theme="1"/>
      <name val="Calibri"/>
      <family val="2"/>
      <scheme val="minor"/>
    </font>
    <font>
      <b/>
      <sz val="10"/>
      <name val="Calibri Light"/>
      <family val="2"/>
      <charset val="204"/>
      <scheme val="major"/>
    </font>
    <font>
      <b/>
      <sz val="10"/>
      <name val="Arial"/>
      <family val="2"/>
    </font>
    <font>
      <b/>
      <sz val="11"/>
      <color rgb="FF000000"/>
      <name val="Calibri"/>
      <family val="2"/>
    </font>
    <font>
      <b/>
      <sz val="11"/>
      <color theme="0"/>
      <name val="Calibri"/>
      <family val="2"/>
    </font>
    <font>
      <b/>
      <sz val="10"/>
      <color theme="0"/>
      <name val="Calibri Light"/>
      <family val="2"/>
      <scheme val="major"/>
    </font>
    <font>
      <b/>
      <sz val="10"/>
      <color rgb="FF000000"/>
      <name val="Arial"/>
      <family val="2"/>
    </font>
    <font>
      <sz val="11"/>
      <name val="Calibri"/>
      <family val="2"/>
      <scheme val="minor"/>
    </font>
  </fonts>
  <fills count="48">
    <fill>
      <patternFill patternType="none"/>
    </fill>
    <fill>
      <patternFill patternType="gray125"/>
    </fill>
    <fill>
      <patternFill patternType="solid">
        <fgColor rgb="FFE6B8AF"/>
        <bgColor rgb="FFE6B8AF"/>
      </patternFill>
    </fill>
    <fill>
      <patternFill patternType="solid">
        <fgColor rgb="FFDD7E6B"/>
        <bgColor rgb="FFDD7E6B"/>
      </patternFill>
    </fill>
    <fill>
      <patternFill patternType="solid">
        <fgColor rgb="FFCC4125"/>
        <bgColor rgb="FFCC4125"/>
      </patternFill>
    </fill>
    <fill>
      <patternFill patternType="solid">
        <fgColor rgb="FFA61C00"/>
        <bgColor rgb="FFA61C00"/>
      </patternFill>
    </fill>
    <fill>
      <patternFill patternType="solid">
        <fgColor rgb="FF85200C"/>
        <bgColor rgb="FF85200C"/>
      </patternFill>
    </fill>
    <fill>
      <patternFill patternType="solid">
        <fgColor rgb="FFCCCCCC"/>
        <bgColor rgb="FFCCCCCC"/>
      </patternFill>
    </fill>
    <fill>
      <patternFill patternType="solid">
        <fgColor rgb="FFFFFF00"/>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8" tint="-0.249977111117893"/>
        <bgColor indexed="64"/>
      </patternFill>
    </fill>
    <fill>
      <patternFill patternType="solid">
        <fgColor theme="8" tint="-0.249977111117893"/>
        <bgColor rgb="FF85200C"/>
      </patternFill>
    </fill>
    <fill>
      <patternFill patternType="solid">
        <fgColor theme="9" tint="-0.249977111117893"/>
        <bgColor indexed="64"/>
      </patternFill>
    </fill>
    <fill>
      <patternFill patternType="solid">
        <fgColor theme="3" tint="-0.49998474074526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8"/>
        <bgColor theme="8"/>
      </patternFill>
    </fill>
    <fill>
      <patternFill patternType="solid">
        <fgColor theme="1" tint="0.14999847407452621"/>
        <bgColor indexed="64"/>
      </patternFill>
    </fill>
    <fill>
      <patternFill patternType="solid">
        <fgColor theme="5" tint="0.59999389629810485"/>
        <bgColor indexed="64"/>
      </patternFill>
    </fill>
    <fill>
      <patternFill patternType="solid">
        <fgColor rgb="FF7030A0"/>
        <bgColor indexed="64"/>
      </patternFill>
    </fill>
    <fill>
      <patternFill patternType="solid">
        <fgColor theme="7" tint="0.79998168889431442"/>
        <bgColor indexed="64"/>
      </patternFill>
    </fill>
    <fill>
      <patternFill patternType="solid">
        <fgColor rgb="FF00B0F0"/>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theme="5" tint="-0.499984740745262"/>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8" tint="0.39997558519241921"/>
        <bgColor rgb="FF85200C"/>
      </patternFill>
    </fill>
    <fill>
      <patternFill patternType="solid">
        <fgColor theme="9" tint="0.59999389629810485"/>
        <bgColor rgb="FF85200C"/>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bgColor theme="4"/>
      </patternFill>
    </fill>
    <fill>
      <patternFill patternType="solid">
        <fgColor theme="2" tint="-0.249977111117893"/>
        <bgColor indexed="64"/>
      </patternFill>
    </fill>
    <fill>
      <patternFill patternType="solid">
        <fgColor theme="9" tint="-0.249977111117893"/>
        <bgColor theme="4" tint="0.79998168889431442"/>
      </patternFill>
    </fill>
    <fill>
      <patternFill patternType="solid">
        <fgColor theme="2" tint="-0.499984740745262"/>
        <bgColor indexed="64"/>
      </patternFill>
    </fill>
    <fill>
      <patternFill patternType="solid">
        <fgColor rgb="FFFF0000"/>
        <bgColor indexed="64"/>
      </patternFill>
    </fill>
    <fill>
      <patternFill patternType="solid">
        <fgColor rgb="FFFAFBFE"/>
        <bgColor indexed="64"/>
      </patternFill>
    </fill>
    <fill>
      <patternFill patternType="solid">
        <fgColor theme="3" tint="0.79998168889431442"/>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rgb="FFFFC000"/>
        <bgColor indexed="64"/>
      </patternFill>
    </fill>
    <fill>
      <patternFill patternType="solid">
        <fgColor rgb="FFC00000"/>
        <bgColor indexed="64"/>
      </patternFill>
    </fill>
  </fills>
  <borders count="56">
    <border>
      <left/>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diagonal/>
    </border>
    <border>
      <left style="thin">
        <color theme="4" tint="0.39997558519241921"/>
      </left>
      <right style="thin">
        <color theme="4" tint="0.39997558519241921"/>
      </right>
      <top style="thin">
        <color theme="4" tint="0.39997558519241921"/>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4" tint="0.39997558519241921"/>
      </left>
      <right/>
      <top/>
      <bottom/>
      <diagonal/>
    </border>
    <border>
      <left style="thin">
        <color theme="4" tint="0.39997558519241921"/>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style="thin">
        <color theme="4" tint="0.39994506668294322"/>
      </left>
      <right style="thin">
        <color theme="4" tint="0.39994506668294322"/>
      </right>
      <top/>
      <bottom style="thin">
        <color theme="4" tint="0.39994506668294322"/>
      </bottom>
      <diagonal/>
    </border>
    <border>
      <left style="thin">
        <color theme="4" tint="0.39997558519241921"/>
      </left>
      <right style="thin">
        <color theme="4" tint="0.39994506668294322"/>
      </right>
      <top/>
      <bottom style="thin">
        <color theme="4" tint="0.39994506668294322"/>
      </bottom>
      <diagonal/>
    </border>
    <border>
      <left style="thin">
        <color theme="4"/>
      </left>
      <right style="thin">
        <color theme="4"/>
      </right>
      <top style="thin">
        <color theme="4"/>
      </top>
      <bottom style="thin">
        <color theme="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theme="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top/>
      <bottom/>
      <diagonal/>
    </border>
    <border>
      <left/>
      <right style="medium">
        <color indexed="64"/>
      </right>
      <top/>
      <bottom/>
      <diagonal/>
    </border>
    <border>
      <left/>
      <right/>
      <top style="thin">
        <color theme="8"/>
      </top>
      <bottom/>
      <diagonal/>
    </border>
    <border>
      <left/>
      <right style="thin">
        <color theme="4" tint="0.39997558519241921"/>
      </right>
      <top style="thin">
        <color theme="8"/>
      </top>
      <bottom/>
      <diagonal/>
    </border>
    <border>
      <left/>
      <right style="thin">
        <color indexed="64"/>
      </right>
      <top style="thin">
        <color indexed="64"/>
      </top>
      <bottom style="thin">
        <color indexed="64"/>
      </bottom>
      <diagonal/>
    </border>
    <border>
      <left/>
      <right style="thin">
        <color theme="4" tint="0.39994506668294322"/>
      </right>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right style="thin">
        <color theme="4" tint="0.39994506668294322"/>
      </right>
      <top style="thin">
        <color theme="4" tint="0.39994506668294322"/>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4" tint="0.39994506668294322"/>
      </left>
      <right/>
      <top style="thin">
        <color theme="4" tint="0.39994506668294322"/>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diagonal/>
    </border>
    <border>
      <left/>
      <right style="thin">
        <color theme="8"/>
      </right>
      <top style="thin">
        <color theme="8"/>
      </top>
      <bottom/>
      <diagonal/>
    </border>
  </borders>
  <cellStyleXfs count="7">
    <xf numFmtId="0" fontId="0" fillId="0" borderId="0"/>
    <xf numFmtId="0" fontId="2" fillId="0" borderId="0" applyNumberFormat="0" applyFill="0" applyBorder="0" applyAlignment="0" applyProtection="0"/>
    <xf numFmtId="43" fontId="6"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27" fillId="0" borderId="0"/>
  </cellStyleXfs>
  <cellXfs count="357">
    <xf numFmtId="0" fontId="0" fillId="0" borderId="0" xfId="0"/>
    <xf numFmtId="0" fontId="3" fillId="0" borderId="0" xfId="1" applyFont="1" applyFill="1" applyAlignment="1">
      <alignment horizontal="right" vertical="top" wrapText="1"/>
    </xf>
    <xf numFmtId="0" fontId="4" fillId="0" borderId="0" xfId="1" applyFont="1" applyFill="1" applyAlignment="1">
      <alignment horizontal="left"/>
    </xf>
    <xf numFmtId="0" fontId="5" fillId="0" borderId="2" xfId="1" applyFont="1" applyFill="1" applyBorder="1" applyAlignment="1">
      <alignment horizontal="left"/>
    </xf>
    <xf numFmtId="0" fontId="4" fillId="0" borderId="0" xfId="1" applyFont="1" applyFill="1" applyAlignment="1">
      <alignment horizontal="right"/>
    </xf>
    <xf numFmtId="0" fontId="5" fillId="0" borderId="3" xfId="1" applyFont="1" applyFill="1" applyBorder="1" applyAlignment="1">
      <alignment horizontal="left"/>
    </xf>
    <xf numFmtId="9" fontId="0" fillId="0" borderId="0" xfId="5" applyFont="1"/>
    <xf numFmtId="0" fontId="8" fillId="0" borderId="2" xfId="1" applyFont="1" applyFill="1" applyBorder="1" applyAlignment="1">
      <alignment horizontal="left" vertical="top" wrapText="1"/>
    </xf>
    <xf numFmtId="1" fontId="5" fillId="0" borderId="1" xfId="1" applyNumberFormat="1" applyFont="1" applyFill="1" applyBorder="1" applyAlignment="1">
      <alignment horizontal="center" vertical="center"/>
    </xf>
    <xf numFmtId="0" fontId="5" fillId="0" borderId="2" xfId="0" applyFont="1" applyFill="1" applyBorder="1" applyAlignment="1">
      <alignment horizontal="left"/>
    </xf>
    <xf numFmtId="0" fontId="5" fillId="0" borderId="4" xfId="0" applyFont="1" applyFill="1" applyBorder="1" applyAlignment="1">
      <alignment horizontal="left"/>
    </xf>
    <xf numFmtId="0" fontId="0" fillId="0" borderId="6" xfId="0" applyBorder="1"/>
    <xf numFmtId="166" fontId="7" fillId="0" borderId="6" xfId="4" applyNumberFormat="1" applyFont="1" applyBorder="1"/>
    <xf numFmtId="166" fontId="5" fillId="0" borderId="5" xfId="0" applyNumberFormat="1" applyFont="1" applyFill="1" applyBorder="1" applyAlignment="1">
      <alignment horizontal="center" vertical="center"/>
    </xf>
    <xf numFmtId="166" fontId="0" fillId="0" borderId="6" xfId="4" applyNumberFormat="1" applyFont="1" applyBorder="1"/>
    <xf numFmtId="0" fontId="8" fillId="0" borderId="0" xfId="1" applyFont="1" applyFill="1" applyAlignment="1">
      <alignment horizontal="center" vertical="center" wrapText="1"/>
    </xf>
    <xf numFmtId="0" fontId="13" fillId="0" borderId="0" xfId="0" applyFont="1"/>
    <xf numFmtId="0" fontId="15" fillId="0" borderId="0" xfId="0" applyFont="1"/>
    <xf numFmtId="0" fontId="21" fillId="0" borderId="0" xfId="0" applyFont="1"/>
    <xf numFmtId="0" fontId="22" fillId="0" borderId="0" xfId="0" applyFont="1" applyAlignment="1">
      <alignment vertical="top"/>
    </xf>
    <xf numFmtId="49" fontId="23" fillId="0" borderId="0" xfId="0" applyNumberFormat="1" applyFont="1"/>
    <xf numFmtId="49" fontId="13" fillId="0" borderId="0" xfId="0" applyNumberFormat="1" applyFont="1"/>
    <xf numFmtId="0" fontId="23" fillId="0" borderId="0" xfId="0" applyFont="1"/>
    <xf numFmtId="164" fontId="0" fillId="0" borderId="6" xfId="0" applyNumberFormat="1" applyBorder="1"/>
    <xf numFmtId="49" fontId="9" fillId="0" borderId="7" xfId="0" applyNumberFormat="1" applyFont="1" applyBorder="1" applyAlignment="1">
      <alignment wrapText="1"/>
    </xf>
    <xf numFmtId="0" fontId="9" fillId="0" borderId="7" xfId="0" applyFont="1" applyBorder="1" applyAlignment="1">
      <alignment wrapText="1"/>
    </xf>
    <xf numFmtId="0" fontId="9" fillId="7" borderId="7" xfId="0" applyFont="1" applyFill="1" applyBorder="1" applyAlignment="1">
      <alignment wrapText="1"/>
    </xf>
    <xf numFmtId="0" fontId="12" fillId="0" borderId="9" xfId="0" applyFont="1" applyBorder="1"/>
    <xf numFmtId="0" fontId="0" fillId="0" borderId="10" xfId="0" applyBorder="1"/>
    <xf numFmtId="0" fontId="0" fillId="0" borderId="11" xfId="0" applyBorder="1"/>
    <xf numFmtId="0" fontId="12" fillId="0" borderId="12" xfId="0" applyFont="1" applyBorder="1"/>
    <xf numFmtId="0" fontId="0" fillId="0" borderId="0" xfId="0" applyBorder="1"/>
    <xf numFmtId="0" fontId="0" fillId="0" borderId="13" xfId="0" applyBorder="1"/>
    <xf numFmtId="0" fontId="24" fillId="0" borderId="12" xfId="0" applyFont="1" applyBorder="1"/>
    <xf numFmtId="0" fontId="0" fillId="0" borderId="12" xfId="0" applyBorder="1"/>
    <xf numFmtId="0" fontId="13" fillId="0" borderId="12" xfId="0" applyFont="1" applyBorder="1"/>
    <xf numFmtId="0" fontId="14" fillId="0" borderId="12" xfId="0" applyFont="1" applyBorder="1"/>
    <xf numFmtId="0" fontId="15" fillId="0" borderId="12" xfId="0" applyFont="1" applyBorder="1"/>
    <xf numFmtId="0" fontId="17" fillId="0" borderId="12" xfId="0" applyFont="1" applyBorder="1"/>
    <xf numFmtId="0" fontId="18" fillId="0" borderId="12" xfId="0" applyFont="1" applyBorder="1"/>
    <xf numFmtId="0" fontId="19" fillId="0" borderId="12" xfId="0" applyFont="1" applyBorder="1"/>
    <xf numFmtId="0" fontId="20" fillId="0" borderId="12" xfId="0" applyFont="1" applyBorder="1" applyAlignment="1">
      <alignment wrapText="1"/>
    </xf>
    <xf numFmtId="0" fontId="0" fillId="0" borderId="14" xfId="0" applyBorder="1"/>
    <xf numFmtId="0" fontId="0" fillId="0" borderId="15" xfId="0" applyBorder="1"/>
    <xf numFmtId="0" fontId="0" fillId="0" borderId="16" xfId="0" applyBorder="1"/>
    <xf numFmtId="9" fontId="5" fillId="0" borderId="0" xfId="5" applyFont="1" applyFill="1" applyBorder="1" applyAlignment="1">
      <alignment horizontal="center" vertical="center"/>
    </xf>
    <xf numFmtId="0" fontId="5" fillId="0" borderId="0" xfId="1" applyFont="1" applyFill="1" applyAlignment="1">
      <alignment horizontal="left"/>
    </xf>
    <xf numFmtId="0" fontId="31" fillId="14" borderId="0" xfId="1" applyFont="1" applyFill="1" applyAlignment="1">
      <alignment horizontal="center" vertical="center" wrapText="1"/>
    </xf>
    <xf numFmtId="0" fontId="34" fillId="16" borderId="6" xfId="1" applyFont="1" applyFill="1" applyBorder="1" applyAlignment="1">
      <alignment horizontal="center" vertical="center" wrapText="1"/>
    </xf>
    <xf numFmtId="9" fontId="5" fillId="0" borderId="0" xfId="5" applyFont="1" applyFill="1" applyAlignment="1">
      <alignment horizontal="center" vertical="center"/>
    </xf>
    <xf numFmtId="0" fontId="5" fillId="0" borderId="1" xfId="5" applyNumberFormat="1" applyFont="1" applyFill="1" applyBorder="1" applyAlignment="1">
      <alignment horizontal="center" vertical="center"/>
    </xf>
    <xf numFmtId="166" fontId="5" fillId="0" borderId="18" xfId="4" applyNumberFormat="1" applyFont="1" applyFill="1" applyBorder="1" applyAlignment="1">
      <alignment horizontal="center" vertical="center" wrapText="1"/>
    </xf>
    <xf numFmtId="166" fontId="5" fillId="0" borderId="19" xfId="4" applyNumberFormat="1" applyFont="1" applyFill="1" applyBorder="1" applyAlignment="1">
      <alignment horizontal="center" vertical="center"/>
    </xf>
    <xf numFmtId="0" fontId="5" fillId="0" borderId="17" xfId="5" applyNumberFormat="1" applyFont="1" applyFill="1" applyBorder="1" applyAlignment="1">
      <alignment horizontal="center" vertical="center"/>
    </xf>
    <xf numFmtId="166" fontId="5" fillId="0" borderId="17" xfId="4" applyNumberFormat="1" applyFont="1" applyFill="1" applyBorder="1" applyAlignment="1">
      <alignment horizontal="center" vertical="center"/>
    </xf>
    <xf numFmtId="166" fontId="5" fillId="0" borderId="1" xfId="4" applyNumberFormat="1" applyFont="1" applyFill="1" applyBorder="1" applyAlignment="1">
      <alignment horizontal="center" vertical="center"/>
    </xf>
    <xf numFmtId="1" fontId="5" fillId="0" borderId="17" xfId="5" applyNumberFormat="1" applyFont="1" applyFill="1" applyBorder="1" applyAlignment="1">
      <alignment horizontal="center" vertical="center"/>
    </xf>
    <xf numFmtId="1" fontId="5" fillId="0" borderId="1" xfId="5" applyNumberFormat="1" applyFont="1" applyFill="1" applyBorder="1" applyAlignment="1">
      <alignment horizontal="center" vertical="center"/>
    </xf>
    <xf numFmtId="0" fontId="8" fillId="0" borderId="6" xfId="1" applyFont="1" applyFill="1" applyBorder="1" applyAlignment="1">
      <alignment horizontal="right" vertical="top" wrapText="1"/>
    </xf>
    <xf numFmtId="166" fontId="4" fillId="0" borderId="0" xfId="4" applyNumberFormat="1" applyFont="1" applyFill="1" applyAlignment="1">
      <alignment horizontal="center" vertical="center"/>
    </xf>
    <xf numFmtId="166" fontId="5" fillId="0" borderId="20" xfId="0" applyNumberFormat="1" applyFont="1" applyFill="1" applyBorder="1" applyAlignment="1">
      <alignment horizontal="center" vertical="center"/>
    </xf>
    <xf numFmtId="0" fontId="5" fillId="0" borderId="4" xfId="5" applyNumberFormat="1" applyFont="1" applyFill="1" applyBorder="1" applyAlignment="1">
      <alignment horizontal="center" vertical="center"/>
    </xf>
    <xf numFmtId="164" fontId="4" fillId="0" borderId="0" xfId="1" applyNumberFormat="1" applyFont="1" applyFill="1" applyAlignment="1">
      <alignment horizontal="right"/>
    </xf>
    <xf numFmtId="0" fontId="4" fillId="18" borderId="0" xfId="1" applyFont="1" applyFill="1" applyAlignment="1">
      <alignment horizontal="right"/>
    </xf>
    <xf numFmtId="0" fontId="3" fillId="18" borderId="0" xfId="1" applyFont="1" applyFill="1" applyAlignment="1">
      <alignment horizontal="right" vertical="top" wrapText="1"/>
    </xf>
    <xf numFmtId="0" fontId="37" fillId="0" borderId="0" xfId="1" applyFont="1" applyFill="1" applyAlignment="1">
      <alignment horizontal="center" vertical="center" wrapText="1"/>
    </xf>
    <xf numFmtId="166" fontId="4" fillId="0" borderId="0" xfId="4" applyNumberFormat="1" applyFont="1" applyFill="1" applyAlignment="1">
      <alignment horizontal="right"/>
    </xf>
    <xf numFmtId="0" fontId="4" fillId="20" borderId="0" xfId="1" applyFont="1" applyFill="1" applyAlignment="1">
      <alignment horizontal="right"/>
    </xf>
    <xf numFmtId="0" fontId="3" fillId="20" borderId="0" xfId="1" applyFont="1" applyFill="1" applyAlignment="1">
      <alignment horizontal="right" vertical="top" wrapText="1"/>
    </xf>
    <xf numFmtId="0" fontId="38" fillId="19" borderId="21" xfId="1" applyFont="1" applyFill="1" applyBorder="1" applyAlignment="1">
      <alignment horizontal="center" vertical="center" wrapText="1"/>
    </xf>
    <xf numFmtId="0" fontId="38" fillId="19" borderId="22" xfId="1" applyFont="1" applyFill="1" applyBorder="1" applyAlignment="1">
      <alignment horizontal="center" vertical="center" wrapText="1"/>
    </xf>
    <xf numFmtId="0" fontId="38" fillId="19" borderId="23" xfId="1" applyFont="1" applyFill="1" applyBorder="1" applyAlignment="1">
      <alignment horizontal="center" vertical="center" wrapText="1"/>
    </xf>
    <xf numFmtId="0" fontId="8" fillId="11" borderId="6" xfId="1" applyFont="1" applyFill="1" applyBorder="1" applyAlignment="1">
      <alignment horizontal="center" vertical="center" wrapText="1"/>
    </xf>
    <xf numFmtId="0" fontId="10" fillId="12" borderId="6" xfId="0" applyFont="1" applyFill="1" applyBorder="1" applyAlignment="1">
      <alignment horizontal="center" vertical="center" wrapText="1"/>
    </xf>
    <xf numFmtId="166" fontId="5" fillId="0" borderId="24" xfId="4" applyNumberFormat="1" applyFont="1" applyFill="1" applyBorder="1" applyAlignment="1">
      <alignment horizontal="center" vertical="center"/>
    </xf>
    <xf numFmtId="0" fontId="8" fillId="13" borderId="6" xfId="1" applyFont="1" applyFill="1" applyBorder="1" applyAlignment="1">
      <alignment horizontal="center" vertical="center" wrapText="1"/>
    </xf>
    <xf numFmtId="166" fontId="5" fillId="0" borderId="0" xfId="4" applyNumberFormat="1" applyFont="1" applyFill="1" applyBorder="1" applyAlignment="1">
      <alignment horizontal="center" vertical="center"/>
    </xf>
    <xf numFmtId="166" fontId="5" fillId="0" borderId="25" xfId="4" applyNumberFormat="1" applyFont="1" applyFill="1" applyBorder="1" applyAlignment="1">
      <alignment horizontal="center" vertical="center" wrapText="1"/>
    </xf>
    <xf numFmtId="164" fontId="4" fillId="0" borderId="0" xfId="4" applyFont="1" applyFill="1" applyAlignment="1">
      <alignment horizontal="right"/>
    </xf>
    <xf numFmtId="166" fontId="4" fillId="0" borderId="0" xfId="1" applyNumberFormat="1" applyFont="1" applyFill="1" applyAlignment="1">
      <alignment horizontal="right"/>
    </xf>
    <xf numFmtId="0" fontId="40" fillId="22" borderId="0" xfId="1" applyFont="1" applyFill="1" applyAlignment="1">
      <alignment horizontal="center" vertical="center" wrapText="1"/>
    </xf>
    <xf numFmtId="0" fontId="30" fillId="18" borderId="0" xfId="1" applyFont="1" applyFill="1" applyAlignment="1">
      <alignment horizontal="center"/>
    </xf>
    <xf numFmtId="0" fontId="8" fillId="18" borderId="0" xfId="1" applyFont="1" applyFill="1" applyBorder="1" applyAlignment="1">
      <alignment horizontal="center" vertical="center" wrapText="1"/>
    </xf>
    <xf numFmtId="166" fontId="5" fillId="18" borderId="0" xfId="4" applyNumberFormat="1" applyFont="1" applyFill="1" applyBorder="1" applyAlignment="1">
      <alignment horizontal="center" vertical="center"/>
    </xf>
    <xf numFmtId="166" fontId="5" fillId="18" borderId="19" xfId="4" applyNumberFormat="1" applyFont="1" applyFill="1" applyBorder="1" applyAlignment="1">
      <alignment horizontal="center" vertical="center"/>
    </xf>
    <xf numFmtId="166" fontId="5" fillId="18" borderId="20" xfId="0" applyNumberFormat="1" applyFont="1" applyFill="1" applyBorder="1" applyAlignment="1">
      <alignment horizontal="center" vertical="center"/>
    </xf>
    <xf numFmtId="0" fontId="39" fillId="22" borderId="0" xfId="1" applyFont="1" applyFill="1" applyAlignment="1">
      <alignment horizontal="center" vertical="center" wrapText="1"/>
    </xf>
    <xf numFmtId="0" fontId="8" fillId="0" borderId="2" xfId="1" applyFont="1" applyFill="1" applyBorder="1" applyAlignment="1">
      <alignment horizontal="center" vertical="center" wrapText="1"/>
    </xf>
    <xf numFmtId="0" fontId="8" fillId="0" borderId="0" xfId="1" applyFont="1" applyFill="1" applyBorder="1" applyAlignment="1">
      <alignment horizontal="center" vertical="center" wrapText="1"/>
    </xf>
    <xf numFmtId="166" fontId="5" fillId="23" borderId="19" xfId="4" applyNumberFormat="1" applyFont="1" applyFill="1" applyBorder="1" applyAlignment="1">
      <alignment horizontal="center" vertical="center"/>
    </xf>
    <xf numFmtId="166" fontId="5" fillId="23" borderId="20" xfId="0" applyNumberFormat="1" applyFont="1" applyFill="1" applyBorder="1" applyAlignment="1">
      <alignment horizontal="center" vertical="center"/>
    </xf>
    <xf numFmtId="166" fontId="41" fillId="0" borderId="0" xfId="4" applyNumberFormat="1" applyFont="1" applyFill="1" applyAlignment="1">
      <alignment horizontal="right"/>
    </xf>
    <xf numFmtId="0" fontId="8" fillId="11" borderId="27" xfId="1" applyFont="1" applyFill="1" applyBorder="1" applyAlignment="1">
      <alignment horizontal="center" vertical="center" wrapText="1"/>
    </xf>
    <xf numFmtId="0" fontId="10" fillId="12" borderId="27" xfId="0" applyFont="1" applyFill="1" applyBorder="1" applyAlignment="1">
      <alignment horizontal="center" vertical="center" wrapText="1"/>
    </xf>
    <xf numFmtId="0" fontId="8" fillId="13" borderId="27" xfId="1" applyFont="1" applyFill="1" applyBorder="1" applyAlignment="1">
      <alignment horizontal="center" vertical="center" wrapText="1"/>
    </xf>
    <xf numFmtId="0" fontId="5" fillId="0" borderId="26" xfId="1" applyFont="1" applyFill="1" applyBorder="1" applyAlignment="1">
      <alignment horizontal="left"/>
    </xf>
    <xf numFmtId="1" fontId="5" fillId="0" borderId="26" xfId="1" applyNumberFormat="1" applyFont="1" applyFill="1" applyBorder="1" applyAlignment="1">
      <alignment horizontal="center" vertical="center"/>
    </xf>
    <xf numFmtId="1" fontId="5" fillId="8" borderId="26" xfId="1" applyNumberFormat="1" applyFont="1" applyFill="1" applyBorder="1" applyAlignment="1">
      <alignment horizontal="center" vertical="center"/>
    </xf>
    <xf numFmtId="0" fontId="8" fillId="13" borderId="28" xfId="1" applyFont="1" applyFill="1" applyBorder="1" applyAlignment="1">
      <alignment horizontal="center" vertical="center" wrapText="1"/>
    </xf>
    <xf numFmtId="0" fontId="0" fillId="0" borderId="0" xfId="0" applyAlignment="1">
      <alignment wrapText="1"/>
    </xf>
    <xf numFmtId="0" fontId="0" fillId="0" borderId="31" xfId="0" applyBorder="1"/>
    <xf numFmtId="0" fontId="0" fillId="0" borderId="32" xfId="0" applyBorder="1"/>
    <xf numFmtId="0" fontId="0" fillId="0" borderId="32" xfId="0" applyBorder="1" applyAlignment="1">
      <alignment wrapText="1"/>
    </xf>
    <xf numFmtId="0" fontId="15" fillId="0" borderId="31" xfId="0" applyFont="1" applyBorder="1"/>
    <xf numFmtId="0" fontId="0" fillId="0" borderId="32" xfId="0" applyBorder="1" applyAlignment="1">
      <alignment vertical="top" wrapText="1"/>
    </xf>
    <xf numFmtId="0" fontId="15" fillId="0" borderId="32" xfId="0" applyFont="1" applyBorder="1" applyAlignment="1">
      <alignment wrapText="1"/>
    </xf>
    <xf numFmtId="0" fontId="0" fillId="0" borderId="32" xfId="0" applyBorder="1" applyAlignment="1"/>
    <xf numFmtId="0" fontId="0" fillId="0" borderId="32" xfId="0" applyBorder="1" applyAlignment="1">
      <alignment horizontal="left"/>
    </xf>
    <xf numFmtId="0" fontId="0" fillId="0" borderId="33" xfId="0" applyBorder="1"/>
    <xf numFmtId="0" fontId="0" fillId="0" borderId="34" xfId="0" applyBorder="1"/>
    <xf numFmtId="0" fontId="43" fillId="0" borderId="0" xfId="1" applyFont="1" applyFill="1" applyAlignment="1">
      <alignment horizontal="center" vertical="center" wrapText="1"/>
    </xf>
    <xf numFmtId="0" fontId="44" fillId="0" borderId="31" xfId="0" applyFont="1" applyBorder="1" applyAlignment="1">
      <alignment vertical="center"/>
    </xf>
    <xf numFmtId="0" fontId="28" fillId="0" borderId="32" xfId="0" applyFont="1" applyBorder="1" applyAlignment="1">
      <alignment horizontal="left" vertical="center" wrapText="1"/>
    </xf>
    <xf numFmtId="0" fontId="28" fillId="0" borderId="32" xfId="0" applyFont="1" applyBorder="1" applyAlignment="1">
      <alignment wrapText="1"/>
    </xf>
    <xf numFmtId="166" fontId="46" fillId="0" borderId="0" xfId="4" applyNumberFormat="1" applyFont="1" applyFill="1" applyAlignment="1">
      <alignment horizontal="right"/>
    </xf>
    <xf numFmtId="0" fontId="45" fillId="0" borderId="32" xfId="0" applyFont="1" applyBorder="1" applyAlignment="1">
      <alignment wrapText="1"/>
    </xf>
    <xf numFmtId="0" fontId="48" fillId="0" borderId="8" xfId="0" applyFont="1" applyFill="1" applyBorder="1" applyAlignment="1">
      <alignment wrapText="1"/>
    </xf>
    <xf numFmtId="0" fontId="48" fillId="0" borderId="7" xfId="0" applyFont="1" applyFill="1" applyBorder="1" applyAlignment="1">
      <alignment wrapText="1"/>
    </xf>
    <xf numFmtId="0" fontId="49" fillId="0" borderId="7" xfId="0" applyFont="1" applyFill="1" applyBorder="1" applyAlignment="1">
      <alignment wrapText="1"/>
    </xf>
    <xf numFmtId="0" fontId="48" fillId="0" borderId="0" xfId="0" applyFont="1" applyFill="1" applyBorder="1" applyAlignment="1">
      <alignment wrapText="1"/>
    </xf>
    <xf numFmtId="0" fontId="48" fillId="0" borderId="7" xfId="6" applyFont="1" applyFill="1" applyBorder="1" applyAlignment="1">
      <alignment wrapText="1"/>
    </xf>
    <xf numFmtId="0" fontId="48" fillId="10" borderId="6" xfId="0" applyFont="1" applyFill="1" applyBorder="1" applyAlignment="1">
      <alignment wrapText="1"/>
    </xf>
    <xf numFmtId="9" fontId="48" fillId="25" borderId="7" xfId="0" applyNumberFormat="1" applyFont="1" applyFill="1" applyBorder="1" applyAlignment="1">
      <alignment horizontal="center" vertical="center" wrapText="1"/>
    </xf>
    <xf numFmtId="9" fontId="48" fillId="21" borderId="7" xfId="0" applyNumberFormat="1" applyFont="1" applyFill="1" applyBorder="1" applyAlignment="1">
      <alignment horizontal="center" vertical="center" wrapText="1"/>
    </xf>
    <xf numFmtId="0" fontId="48" fillId="10" borderId="7" xfId="0" applyFont="1" applyFill="1" applyBorder="1" applyAlignment="1">
      <alignment horizontal="center" vertical="center" wrapText="1"/>
    </xf>
    <xf numFmtId="0" fontId="48" fillId="26" borderId="7" xfId="0" applyFont="1" applyFill="1" applyBorder="1" applyAlignment="1">
      <alignment horizontal="center" vertical="center" wrapText="1"/>
    </xf>
    <xf numFmtId="0" fontId="51" fillId="27" borderId="7" xfId="0" applyFont="1" applyFill="1" applyBorder="1" applyAlignment="1">
      <alignment horizontal="center" vertical="center" wrapText="1"/>
    </xf>
    <xf numFmtId="0" fontId="48" fillId="25" borderId="7" xfId="0" applyFont="1" applyFill="1" applyBorder="1" applyAlignment="1">
      <alignment horizontal="center" vertical="center" wrapText="1"/>
    </xf>
    <xf numFmtId="0" fontId="48" fillId="21" borderId="7" xfId="0" applyFont="1" applyFill="1" applyBorder="1" applyAlignment="1">
      <alignment horizontal="center" vertical="center" wrapText="1"/>
    </xf>
    <xf numFmtId="0" fontId="49" fillId="25" borderId="7" xfId="0" applyFont="1" applyFill="1" applyBorder="1" applyAlignment="1">
      <alignment horizontal="center" vertical="center" wrapText="1"/>
    </xf>
    <xf numFmtId="0" fontId="49" fillId="21" borderId="7" xfId="0" applyFont="1" applyFill="1" applyBorder="1" applyAlignment="1">
      <alignment horizontal="center" vertical="center" wrapText="1"/>
    </xf>
    <xf numFmtId="0" fontId="49" fillId="10" borderId="7" xfId="0" applyFont="1" applyFill="1" applyBorder="1" applyAlignment="1">
      <alignment horizontal="center" vertical="center" wrapText="1"/>
    </xf>
    <xf numFmtId="0" fontId="49" fillId="26" borderId="7" xfId="0" applyFont="1" applyFill="1" applyBorder="1" applyAlignment="1">
      <alignment horizontal="center" vertical="center" wrapText="1"/>
    </xf>
    <xf numFmtId="0" fontId="52" fillId="27" borderId="7" xfId="0" applyFont="1" applyFill="1" applyBorder="1" applyAlignment="1">
      <alignment horizontal="center" vertical="center" wrapText="1"/>
    </xf>
    <xf numFmtId="0" fontId="48" fillId="25" borderId="37" xfId="0" applyFont="1" applyFill="1" applyBorder="1" applyAlignment="1">
      <alignment horizontal="center" vertical="center" wrapText="1"/>
    </xf>
    <xf numFmtId="0" fontId="48" fillId="21" borderId="37" xfId="0" applyFont="1" applyFill="1" applyBorder="1" applyAlignment="1">
      <alignment horizontal="center" vertical="center" wrapText="1"/>
    </xf>
    <xf numFmtId="0" fontId="48" fillId="10" borderId="37" xfId="0" applyFont="1" applyFill="1" applyBorder="1" applyAlignment="1">
      <alignment horizontal="center" vertical="center" wrapText="1"/>
    </xf>
    <xf numFmtId="0" fontId="48" fillId="26" borderId="37" xfId="0" applyFont="1" applyFill="1" applyBorder="1" applyAlignment="1">
      <alignment horizontal="center" vertical="center" wrapText="1"/>
    </xf>
    <xf numFmtId="0" fontId="51" fillId="27" borderId="37" xfId="0" applyFont="1" applyFill="1" applyBorder="1" applyAlignment="1">
      <alignment horizontal="center" vertical="center" wrapText="1"/>
    </xf>
    <xf numFmtId="0" fontId="48" fillId="25" borderId="6" xfId="0" applyFont="1" applyFill="1" applyBorder="1" applyAlignment="1">
      <alignment horizontal="center" vertical="center" wrapText="1"/>
    </xf>
    <xf numFmtId="0" fontId="48" fillId="21" borderId="6" xfId="0" applyFont="1" applyFill="1" applyBorder="1" applyAlignment="1">
      <alignment horizontal="center" vertical="center" wrapText="1"/>
    </xf>
    <xf numFmtId="0" fontId="48" fillId="10" borderId="6" xfId="0" applyFont="1" applyFill="1" applyBorder="1" applyAlignment="1">
      <alignment horizontal="center" vertical="center" wrapText="1"/>
    </xf>
    <xf numFmtId="0" fontId="48" fillId="26" borderId="6" xfId="0" applyFont="1" applyFill="1" applyBorder="1" applyAlignment="1">
      <alignment horizontal="center" vertical="center" wrapText="1"/>
    </xf>
    <xf numFmtId="0" fontId="51" fillId="27" borderId="6" xfId="0" applyFont="1" applyFill="1" applyBorder="1" applyAlignment="1">
      <alignment horizontal="center" vertical="center" wrapText="1"/>
    </xf>
    <xf numFmtId="0" fontId="48" fillId="25" borderId="38" xfId="6" applyFont="1" applyFill="1" applyBorder="1" applyAlignment="1">
      <alignment horizontal="center" vertical="center" wrapText="1"/>
    </xf>
    <xf numFmtId="0" fontId="48" fillId="21" borderId="38" xfId="6" applyFont="1" applyFill="1" applyBorder="1" applyAlignment="1">
      <alignment horizontal="center" vertical="center" wrapText="1"/>
    </xf>
    <xf numFmtId="0" fontId="48" fillId="10" borderId="38" xfId="6" applyFont="1" applyFill="1" applyBorder="1" applyAlignment="1">
      <alignment horizontal="center" vertical="center" wrapText="1"/>
    </xf>
    <xf numFmtId="0" fontId="48" fillId="26" borderId="38" xfId="6" applyFont="1" applyFill="1" applyBorder="1" applyAlignment="1">
      <alignment horizontal="center" vertical="center" wrapText="1"/>
    </xf>
    <xf numFmtId="0" fontId="51" fillId="27" borderId="38" xfId="6" applyFont="1" applyFill="1" applyBorder="1" applyAlignment="1">
      <alignment horizontal="center" vertical="center" wrapText="1"/>
    </xf>
    <xf numFmtId="0" fontId="48" fillId="25" borderId="7" xfId="6" applyFont="1" applyFill="1" applyBorder="1" applyAlignment="1">
      <alignment horizontal="center" vertical="center" wrapText="1"/>
    </xf>
    <xf numFmtId="0" fontId="48" fillId="21" borderId="7" xfId="6" applyFont="1" applyFill="1" applyBorder="1" applyAlignment="1">
      <alignment horizontal="center" vertical="center" wrapText="1"/>
    </xf>
    <xf numFmtId="0" fontId="48" fillId="10" borderId="7" xfId="6" applyFont="1" applyFill="1" applyBorder="1" applyAlignment="1">
      <alignment horizontal="center" vertical="center" wrapText="1"/>
    </xf>
    <xf numFmtId="0" fontId="48" fillId="26" borderId="7" xfId="6" applyFont="1" applyFill="1" applyBorder="1" applyAlignment="1">
      <alignment horizontal="center" vertical="center" wrapText="1"/>
    </xf>
    <xf numFmtId="0" fontId="51" fillId="27" borderId="7" xfId="6" applyFont="1" applyFill="1" applyBorder="1" applyAlignment="1">
      <alignment horizontal="center" vertical="center" wrapText="1"/>
    </xf>
    <xf numFmtId="0" fontId="25" fillId="9" borderId="7" xfId="0" applyFont="1" applyFill="1" applyBorder="1" applyAlignment="1">
      <alignment wrapText="1"/>
    </xf>
    <xf numFmtId="0" fontId="26" fillId="9" borderId="7" xfId="0" applyFont="1" applyFill="1" applyBorder="1" applyAlignment="1">
      <alignment wrapText="1"/>
    </xf>
    <xf numFmtId="0" fontId="49" fillId="9" borderId="7" xfId="0" applyFont="1" applyFill="1" applyBorder="1" applyAlignment="1">
      <alignment wrapText="1"/>
    </xf>
    <xf numFmtId="0" fontId="48" fillId="9" borderId="7" xfId="0" applyFont="1" applyFill="1" applyBorder="1" applyAlignment="1">
      <alignment wrapText="1"/>
    </xf>
    <xf numFmtId="0" fontId="26" fillId="17" borderId="7" xfId="0" applyFont="1" applyFill="1" applyBorder="1" applyAlignment="1">
      <alignment wrapText="1"/>
    </xf>
    <xf numFmtId="0" fontId="48" fillId="17" borderId="7" xfId="0" applyFont="1" applyFill="1" applyBorder="1" applyAlignment="1">
      <alignment wrapText="1"/>
    </xf>
    <xf numFmtId="0" fontId="29" fillId="28" borderId="7" xfId="0" applyFont="1" applyFill="1" applyBorder="1" applyAlignment="1">
      <alignment wrapText="1"/>
    </xf>
    <xf numFmtId="0" fontId="49" fillId="28" borderId="7" xfId="0" applyFont="1" applyFill="1" applyBorder="1" applyAlignment="1">
      <alignment wrapText="1"/>
    </xf>
    <xf numFmtId="0" fontId="2" fillId="10" borderId="6" xfId="0" applyFont="1" applyFill="1" applyBorder="1" applyAlignment="1">
      <alignment wrapText="1"/>
    </xf>
    <xf numFmtId="0" fontId="48" fillId="10" borderId="8" xfId="0" applyFont="1" applyFill="1" applyBorder="1" applyAlignment="1">
      <alignment wrapText="1"/>
    </xf>
    <xf numFmtId="0" fontId="26" fillId="29" borderId="7" xfId="0" applyFont="1" applyFill="1" applyBorder="1" applyAlignment="1">
      <alignment wrapText="1"/>
    </xf>
    <xf numFmtId="0" fontId="48" fillId="29" borderId="7" xfId="0" applyFont="1" applyFill="1" applyBorder="1" applyAlignment="1">
      <alignment wrapText="1"/>
    </xf>
    <xf numFmtId="0" fontId="26" fillId="29" borderId="37" xfId="0" applyFont="1" applyFill="1" applyBorder="1" applyAlignment="1">
      <alignment wrapText="1"/>
    </xf>
    <xf numFmtId="0" fontId="48" fillId="29" borderId="37" xfId="0" applyFont="1" applyFill="1" applyBorder="1" applyAlignment="1">
      <alignment wrapText="1"/>
    </xf>
    <xf numFmtId="0" fontId="26" fillId="29" borderId="6" xfId="0" applyFont="1" applyFill="1" applyBorder="1" applyAlignment="1">
      <alignment wrapText="1"/>
    </xf>
    <xf numFmtId="0" fontId="48" fillId="29" borderId="6" xfId="0" applyFont="1" applyFill="1" applyBorder="1" applyAlignment="1">
      <alignment wrapText="1"/>
    </xf>
    <xf numFmtId="0" fontId="26" fillId="16" borderId="6" xfId="0" applyFont="1" applyFill="1" applyBorder="1" applyAlignment="1">
      <alignment wrapText="1"/>
    </xf>
    <xf numFmtId="0" fontId="48" fillId="16" borderId="6" xfId="0" applyFont="1" applyFill="1" applyBorder="1" applyAlignment="1">
      <alignment wrapText="1"/>
    </xf>
    <xf numFmtId="0" fontId="26" fillId="30" borderId="38" xfId="6" applyFont="1" applyFill="1" applyBorder="1" applyAlignment="1">
      <alignment wrapText="1"/>
    </xf>
    <xf numFmtId="0" fontId="48" fillId="30" borderId="38" xfId="6" applyFont="1" applyFill="1" applyBorder="1" applyAlignment="1">
      <alignment wrapText="1"/>
    </xf>
    <xf numFmtId="0" fontId="50" fillId="30" borderId="38" xfId="6" applyFont="1" applyFill="1" applyBorder="1" applyAlignment="1">
      <alignment vertical="center" wrapText="1"/>
    </xf>
    <xf numFmtId="0" fontId="48" fillId="30" borderId="38" xfId="6" applyFont="1" applyFill="1" applyBorder="1" applyAlignment="1">
      <alignment vertical="center" wrapText="1"/>
    </xf>
    <xf numFmtId="0" fontId="26" fillId="30" borderId="7" xfId="6" applyFont="1" applyFill="1" applyBorder="1" applyAlignment="1">
      <alignment wrapText="1"/>
    </xf>
    <xf numFmtId="0" fontId="48" fillId="30" borderId="7" xfId="6" applyFont="1" applyFill="1" applyBorder="1" applyAlignment="1">
      <alignment wrapText="1"/>
    </xf>
    <xf numFmtId="0" fontId="50" fillId="30" borderId="7" xfId="6" applyFont="1" applyFill="1" applyBorder="1" applyAlignment="1">
      <alignment vertical="center" wrapText="1"/>
    </xf>
    <xf numFmtId="0" fontId="48" fillId="30" borderId="7" xfId="6" applyFont="1" applyFill="1" applyBorder="1" applyAlignment="1">
      <alignment horizontal="right" wrapText="1"/>
    </xf>
    <xf numFmtId="0" fontId="48" fillId="30" borderId="7" xfId="6" applyFont="1" applyFill="1" applyBorder="1" applyAlignment="1">
      <alignment vertical="center" wrapText="1"/>
    </xf>
    <xf numFmtId="0" fontId="26" fillId="13" borderId="7" xfId="0" applyFont="1" applyFill="1" applyBorder="1" applyAlignment="1">
      <alignment wrapText="1"/>
    </xf>
    <xf numFmtId="0" fontId="48" fillId="13" borderId="7" xfId="0" applyFont="1" applyFill="1" applyBorder="1" applyAlignment="1">
      <alignment wrapText="1"/>
    </xf>
    <xf numFmtId="0" fontId="48" fillId="13" borderId="7" xfId="0" applyFont="1" applyFill="1" applyBorder="1" applyAlignment="1">
      <alignment horizontal="right" wrapText="1"/>
    </xf>
    <xf numFmtId="0" fontId="26" fillId="8" borderId="7" xfId="0" applyFont="1" applyFill="1" applyBorder="1" applyAlignment="1">
      <alignment wrapText="1"/>
    </xf>
    <xf numFmtId="0" fontId="48" fillId="8" borderId="7" xfId="0" applyFont="1" applyFill="1" applyBorder="1" applyAlignment="1">
      <alignment wrapText="1"/>
    </xf>
    <xf numFmtId="0" fontId="26" fillId="31" borderId="7" xfId="0" applyFont="1" applyFill="1" applyBorder="1" applyAlignment="1">
      <alignment wrapText="1"/>
    </xf>
    <xf numFmtId="0" fontId="48" fillId="31" borderId="7" xfId="0" applyFont="1" applyFill="1" applyBorder="1" applyAlignment="1">
      <alignment wrapText="1"/>
    </xf>
    <xf numFmtId="0" fontId="9" fillId="2" borderId="7"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30" fillId="18" borderId="0" xfId="1" applyFont="1" applyFill="1" applyBorder="1" applyAlignment="1">
      <alignment horizontal="center"/>
    </xf>
    <xf numFmtId="0" fontId="5" fillId="18" borderId="26" xfId="1" applyFont="1" applyFill="1" applyBorder="1" applyAlignment="1">
      <alignment horizontal="left"/>
    </xf>
    <xf numFmtId="0" fontId="5" fillId="18" borderId="0" xfId="1" applyFont="1" applyFill="1" applyAlignment="1">
      <alignment horizontal="left"/>
    </xf>
    <xf numFmtId="0" fontId="0" fillId="0" borderId="39" xfId="0" applyBorder="1"/>
    <xf numFmtId="0" fontId="0" fillId="0" borderId="40" xfId="0" applyBorder="1"/>
    <xf numFmtId="166" fontId="8" fillId="11" borderId="6" xfId="4" applyNumberFormat="1" applyFont="1" applyFill="1" applyBorder="1" applyAlignment="1">
      <alignment horizontal="center" vertical="center" wrapText="1"/>
    </xf>
    <xf numFmtId="1" fontId="5" fillId="0" borderId="0" xfId="1" applyNumberFormat="1" applyFont="1" applyFill="1" applyBorder="1" applyAlignment="1">
      <alignment horizontal="center" vertical="center" wrapText="1"/>
    </xf>
    <xf numFmtId="0" fontId="30" fillId="23" borderId="6" xfId="1" applyFont="1" applyFill="1" applyBorder="1" applyAlignment="1">
      <alignment horizontal="center" vertical="center" wrapText="1"/>
    </xf>
    <xf numFmtId="0" fontId="5" fillId="0" borderId="42" xfId="1" applyFont="1" applyBorder="1" applyAlignment="1">
      <alignment horizontal="center" vertical="center"/>
    </xf>
    <xf numFmtId="0" fontId="5" fillId="0" borderId="41" xfId="1" applyFont="1" applyBorder="1" applyAlignment="1">
      <alignment horizontal="center" vertical="center"/>
    </xf>
    <xf numFmtId="166" fontId="5" fillId="0" borderId="24" xfId="0" applyNumberFormat="1" applyFont="1" applyFill="1" applyBorder="1" applyAlignment="1">
      <alignment horizontal="center" vertical="center"/>
    </xf>
    <xf numFmtId="0" fontId="8" fillId="13" borderId="43" xfId="1" applyFont="1" applyFill="1" applyBorder="1" applyAlignment="1">
      <alignment horizontal="center" vertical="center" wrapText="1"/>
    </xf>
    <xf numFmtId="166" fontId="5" fillId="0" borderId="44" xfId="4" applyNumberFormat="1" applyFont="1" applyFill="1" applyBorder="1" applyAlignment="1">
      <alignment horizontal="center" vertical="center"/>
    </xf>
    <xf numFmtId="166" fontId="5" fillId="0" borderId="45" xfId="4" applyNumberFormat="1" applyFont="1" applyFill="1" applyBorder="1" applyAlignment="1">
      <alignment horizontal="center" vertical="center"/>
    </xf>
    <xf numFmtId="166" fontId="5" fillId="0" borderId="46" xfId="0" applyNumberFormat="1" applyFont="1" applyFill="1" applyBorder="1" applyAlignment="1">
      <alignment horizontal="center" vertical="center"/>
    </xf>
    <xf numFmtId="166" fontId="36" fillId="10" borderId="6" xfId="4" applyNumberFormat="1" applyFont="1" applyFill="1" applyBorder="1" applyAlignment="1">
      <alignment horizontal="center" vertical="center" wrapText="1"/>
    </xf>
    <xf numFmtId="166" fontId="35" fillId="10" borderId="6" xfId="4" applyNumberFormat="1" applyFont="1" applyFill="1" applyBorder="1" applyAlignment="1">
      <alignment horizontal="center" vertical="center"/>
    </xf>
    <xf numFmtId="166" fontId="35" fillId="24" borderId="6" xfId="0" applyNumberFormat="1" applyFont="1" applyFill="1" applyBorder="1" applyAlignment="1">
      <alignment horizontal="center" vertical="center"/>
    </xf>
    <xf numFmtId="0" fontId="5" fillId="0" borderId="2" xfId="5" applyNumberFormat="1" applyFont="1" applyFill="1" applyBorder="1" applyAlignment="1">
      <alignment horizontal="center" vertical="center"/>
    </xf>
    <xf numFmtId="166" fontId="5" fillId="0" borderId="44" xfId="4" applyNumberFormat="1" applyFont="1" applyFill="1" applyBorder="1" applyAlignment="1">
      <alignment horizontal="center" vertical="center" wrapText="1"/>
    </xf>
    <xf numFmtId="166" fontId="5" fillId="0" borderId="45" xfId="4" applyNumberFormat="1" applyFont="1" applyFill="1" applyBorder="1" applyAlignment="1">
      <alignment horizontal="center" vertical="center" wrapText="1"/>
    </xf>
    <xf numFmtId="0" fontId="8" fillId="11" borderId="43" xfId="1" applyFont="1" applyFill="1" applyBorder="1" applyAlignment="1">
      <alignment horizontal="center" vertical="center" wrapText="1"/>
    </xf>
    <xf numFmtId="0" fontId="8" fillId="11" borderId="6" xfId="1" applyFont="1" applyFill="1" applyBorder="1" applyAlignment="1">
      <alignment horizontal="right" vertical="top" wrapText="1"/>
    </xf>
    <xf numFmtId="0" fontId="8" fillId="32" borderId="6" xfId="1" applyFont="1" applyFill="1" applyBorder="1" applyAlignment="1">
      <alignment horizontal="center" vertical="center" wrapText="1"/>
    </xf>
    <xf numFmtId="0" fontId="10" fillId="33" borderId="6" xfId="0" applyFont="1" applyFill="1" applyBorder="1" applyAlignment="1">
      <alignment horizontal="center" vertical="center" wrapText="1"/>
    </xf>
    <xf numFmtId="0" fontId="54" fillId="28" borderId="6" xfId="1" applyFont="1" applyFill="1" applyBorder="1" applyAlignment="1">
      <alignment horizontal="center" vertical="center" wrapText="1"/>
    </xf>
    <xf numFmtId="0" fontId="55" fillId="34" borderId="6" xfId="0" applyFont="1" applyFill="1" applyBorder="1" applyAlignment="1">
      <alignment horizontal="center" vertical="center" wrapText="1"/>
    </xf>
    <xf numFmtId="0" fontId="54" fillId="21" borderId="6" xfId="1" applyFont="1" applyFill="1" applyBorder="1" applyAlignment="1">
      <alignment horizontal="center" vertical="center" wrapText="1"/>
    </xf>
    <xf numFmtId="166" fontId="5" fillId="0" borderId="19" xfId="0" applyNumberFormat="1" applyFont="1" applyFill="1" applyBorder="1" applyAlignment="1">
      <alignment horizontal="center" vertical="center"/>
    </xf>
    <xf numFmtId="0" fontId="8" fillId="0" borderId="0" xfId="1" applyFont="1" applyFill="1" applyBorder="1" applyAlignment="1">
      <alignment horizontal="left" vertical="top" wrapText="1"/>
    </xf>
    <xf numFmtId="166" fontId="5" fillId="0" borderId="19" xfId="4" applyNumberFormat="1" applyFont="1" applyFill="1" applyBorder="1" applyAlignment="1">
      <alignment horizontal="left"/>
    </xf>
    <xf numFmtId="166" fontId="5" fillId="0" borderId="2" xfId="4" applyNumberFormat="1" applyFont="1" applyFill="1" applyBorder="1" applyAlignment="1">
      <alignment horizontal="center" vertical="center"/>
    </xf>
    <xf numFmtId="166" fontId="4" fillId="0" borderId="1" xfId="4" applyNumberFormat="1" applyFont="1" applyFill="1" applyBorder="1" applyAlignment="1">
      <alignment horizontal="center" vertical="center"/>
    </xf>
    <xf numFmtId="0" fontId="8" fillId="0" borderId="6" xfId="1" applyFont="1" applyFill="1" applyBorder="1" applyAlignment="1">
      <alignment horizontal="center" vertical="center" wrapText="1"/>
    </xf>
    <xf numFmtId="166" fontId="5" fillId="0" borderId="49" xfId="0" applyNumberFormat="1" applyFont="1" applyFill="1" applyBorder="1" applyAlignment="1">
      <alignment horizontal="left"/>
    </xf>
    <xf numFmtId="0" fontId="35" fillId="24" borderId="6" xfId="0" applyNumberFormat="1" applyFont="1" applyFill="1" applyBorder="1" applyAlignment="1">
      <alignment horizontal="center" vertical="center"/>
    </xf>
    <xf numFmtId="1" fontId="35" fillId="24" borderId="6" xfId="0" applyNumberFormat="1" applyFont="1" applyFill="1" applyBorder="1" applyAlignment="1">
      <alignment horizontal="center" vertical="center"/>
    </xf>
    <xf numFmtId="166" fontId="0" fillId="0" borderId="0" xfId="4" applyNumberFormat="1" applyFont="1"/>
    <xf numFmtId="166" fontId="7" fillId="0" borderId="0" xfId="4" applyNumberFormat="1" applyFont="1" applyBorder="1"/>
    <xf numFmtId="166" fontId="0" fillId="0" borderId="0" xfId="4" applyNumberFormat="1" applyFont="1" applyBorder="1"/>
    <xf numFmtId="166" fontId="7" fillId="0" borderId="0" xfId="4" applyNumberFormat="1" applyFont="1"/>
    <xf numFmtId="0" fontId="0" fillId="38" borderId="0" xfId="0" applyFill="1"/>
    <xf numFmtId="166" fontId="7" fillId="39" borderId="0" xfId="4" applyNumberFormat="1" applyFont="1" applyFill="1" applyBorder="1" applyAlignment="1">
      <alignment horizontal="center" vertical="center"/>
    </xf>
    <xf numFmtId="166" fontId="7" fillId="39" borderId="54" xfId="4" applyNumberFormat="1" applyFont="1" applyFill="1" applyBorder="1" applyAlignment="1">
      <alignment horizontal="center" vertical="center"/>
    </xf>
    <xf numFmtId="166" fontId="0" fillId="35" borderId="50" xfId="4" applyNumberFormat="1" applyFont="1" applyFill="1" applyBorder="1"/>
    <xf numFmtId="166" fontId="56" fillId="37" borderId="21" xfId="4" applyNumberFormat="1" applyFont="1" applyFill="1" applyBorder="1"/>
    <xf numFmtId="166" fontId="56" fillId="37" borderId="22" xfId="4" applyNumberFormat="1" applyFont="1" applyFill="1" applyBorder="1"/>
    <xf numFmtId="166" fontId="0" fillId="36" borderId="50" xfId="4" applyNumberFormat="1" applyFont="1" applyFill="1" applyBorder="1"/>
    <xf numFmtId="166" fontId="29" fillId="36" borderId="50" xfId="4" applyNumberFormat="1" applyFont="1" applyFill="1" applyBorder="1"/>
    <xf numFmtId="166" fontId="29" fillId="35" borderId="50" xfId="4" applyNumberFormat="1" applyFont="1" applyFill="1" applyBorder="1"/>
    <xf numFmtId="166" fontId="0" fillId="35" borderId="51" xfId="4" applyNumberFormat="1" applyFont="1" applyFill="1" applyBorder="1" applyAlignment="1">
      <alignment horizontal="center" vertical="center"/>
    </xf>
    <xf numFmtId="166" fontId="0" fillId="36" borderId="51" xfId="4" applyNumberFormat="1" applyFont="1" applyFill="1" applyBorder="1" applyAlignment="1">
      <alignment horizontal="center" vertical="center"/>
    </xf>
    <xf numFmtId="166" fontId="0" fillId="35" borderId="50" xfId="4" applyNumberFormat="1" applyFont="1" applyFill="1" applyBorder="1" applyAlignment="1">
      <alignment horizontal="center" vertical="center"/>
    </xf>
    <xf numFmtId="166" fontId="7" fillId="0" borderId="0" xfId="4" applyNumberFormat="1" applyFont="1" applyAlignment="1">
      <alignment horizontal="center" vertical="center"/>
    </xf>
    <xf numFmtId="0" fontId="0" fillId="0" borderId="0" xfId="0" applyAlignment="1">
      <alignment horizontal="center" vertical="center"/>
    </xf>
    <xf numFmtId="166" fontId="41" fillId="0" borderId="0" xfId="1" applyNumberFormat="1" applyFont="1" applyFill="1" applyAlignment="1">
      <alignment horizontal="right"/>
    </xf>
    <xf numFmtId="166" fontId="0" fillId="0" borderId="0" xfId="4" applyNumberFormat="1" applyFont="1" applyAlignment="1">
      <alignment vertical="center"/>
    </xf>
    <xf numFmtId="166" fontId="0" fillId="0" borderId="0" xfId="4" applyNumberFormat="1" applyFont="1" applyAlignment="1">
      <alignment vertical="center" wrapText="1"/>
    </xf>
    <xf numFmtId="166" fontId="0" fillId="0" borderId="0" xfId="4" applyNumberFormat="1" applyFont="1" applyAlignment="1">
      <alignment horizontal="center" vertical="center"/>
    </xf>
    <xf numFmtId="166" fontId="7" fillId="0" borderId="0" xfId="4" applyNumberFormat="1" applyFont="1" applyAlignment="1">
      <alignment vertical="center"/>
    </xf>
    <xf numFmtId="0" fontId="0" fillId="40" borderId="0" xfId="0" applyFill="1" applyAlignment="1">
      <alignment horizontal="center" vertical="center" wrapText="1"/>
    </xf>
    <xf numFmtId="0" fontId="0" fillId="40" borderId="0" xfId="0" applyFill="1"/>
    <xf numFmtId="166" fontId="57" fillId="37" borderId="21" xfId="4" applyNumberFormat="1" applyFont="1" applyFill="1" applyBorder="1" applyAlignment="1">
      <alignment horizontal="center" vertical="center" wrapText="1"/>
    </xf>
    <xf numFmtId="166" fontId="57" fillId="37" borderId="22" xfId="4" applyNumberFormat="1" applyFont="1" applyFill="1" applyBorder="1" applyAlignment="1">
      <alignment horizontal="center" vertical="center" wrapText="1"/>
    </xf>
    <xf numFmtId="166" fontId="4" fillId="8" borderId="0" xfId="1" applyNumberFormat="1" applyFont="1" applyFill="1" applyAlignment="1">
      <alignment horizontal="right"/>
    </xf>
    <xf numFmtId="166" fontId="58" fillId="41" borderId="0" xfId="1" applyNumberFormat="1" applyFont="1" applyFill="1" applyAlignment="1">
      <alignment horizontal="right"/>
    </xf>
    <xf numFmtId="166" fontId="29" fillId="36" borderId="52" xfId="4" applyNumberFormat="1" applyFont="1" applyFill="1" applyBorder="1"/>
    <xf numFmtId="166" fontId="29" fillId="36" borderId="53" xfId="4" applyNumberFormat="1" applyFont="1" applyFill="1" applyBorder="1" applyAlignment="1">
      <alignment horizontal="center" vertical="center"/>
    </xf>
    <xf numFmtId="0" fontId="0" fillId="0" borderId="0" xfId="0" applyAlignment="1">
      <alignment horizontal="center"/>
    </xf>
    <xf numFmtId="0" fontId="7" fillId="0" borderId="6" xfId="0" applyFont="1" applyBorder="1" applyAlignment="1">
      <alignment horizontal="center"/>
    </xf>
    <xf numFmtId="0" fontId="7" fillId="0" borderId="6" xfId="0" applyFont="1" applyBorder="1"/>
    <xf numFmtId="0" fontId="59" fillId="42" borderId="6" xfId="0" applyFont="1" applyFill="1" applyBorder="1" applyAlignment="1">
      <alignment horizontal="center" vertical="top" wrapText="1"/>
    </xf>
    <xf numFmtId="0" fontId="59" fillId="43" borderId="6" xfId="0" applyFont="1" applyFill="1" applyBorder="1" applyAlignment="1">
      <alignment horizontal="center" vertical="top" wrapText="1"/>
    </xf>
    <xf numFmtId="1" fontId="27" fillId="42" borderId="6" xfId="0" applyNumberFormat="1" applyFont="1" applyFill="1" applyBorder="1" applyAlignment="1">
      <alignment horizontal="center"/>
    </xf>
    <xf numFmtId="1" fontId="27" fillId="43" borderId="6" xfId="0" applyNumberFormat="1" applyFont="1" applyFill="1" applyBorder="1" applyAlignment="1">
      <alignment horizontal="center"/>
    </xf>
    <xf numFmtId="0" fontId="27" fillId="42" borderId="6" xfId="0" applyFont="1" applyFill="1" applyBorder="1" applyAlignment="1">
      <alignment horizontal="center"/>
    </xf>
    <xf numFmtId="16" fontId="0" fillId="0" borderId="6" xfId="0" quotePrefix="1" applyNumberFormat="1" applyBorder="1"/>
    <xf numFmtId="1" fontId="59" fillId="42" borderId="6" xfId="0" applyNumberFormat="1" applyFont="1" applyFill="1" applyBorder="1" applyAlignment="1">
      <alignment horizontal="center"/>
    </xf>
    <xf numFmtId="1" fontId="59" fillId="43" borderId="6" xfId="0" applyNumberFormat="1" applyFont="1" applyFill="1" applyBorder="1" applyAlignment="1">
      <alignment horizontal="center"/>
    </xf>
    <xf numFmtId="0" fontId="59" fillId="42" borderId="6" xfId="0" applyFont="1" applyFill="1" applyBorder="1" applyAlignment="1">
      <alignment horizontal="center"/>
    </xf>
    <xf numFmtId="0" fontId="0" fillId="0" borderId="48" xfId="0" applyBorder="1"/>
    <xf numFmtId="0" fontId="7" fillId="0" borderId="47" xfId="0" applyFont="1" applyBorder="1"/>
    <xf numFmtId="0" fontId="0" fillId="0" borderId="43" xfId="0" applyBorder="1"/>
    <xf numFmtId="0" fontId="0" fillId="43" borderId="0" xfId="0" applyFill="1"/>
    <xf numFmtId="0" fontId="7" fillId="0" borderId="48" xfId="0" applyFont="1" applyBorder="1"/>
    <xf numFmtId="0" fontId="7" fillId="0" borderId="43" xfId="0" applyFont="1" applyBorder="1"/>
    <xf numFmtId="0" fontId="7" fillId="0" borderId="0" xfId="0" applyFont="1"/>
    <xf numFmtId="1" fontId="59" fillId="42" borderId="0" xfId="0" applyNumberFormat="1" applyFont="1" applyFill="1" applyAlignment="1">
      <alignment horizontal="center"/>
    </xf>
    <xf numFmtId="0" fontId="59" fillId="43" borderId="0" xfId="0" applyFont="1" applyFill="1" applyAlignment="1">
      <alignment horizontal="center"/>
    </xf>
    <xf numFmtId="1" fontId="59" fillId="43" borderId="0" xfId="0" applyNumberFormat="1" applyFont="1" applyFill="1" applyAlignment="1">
      <alignment horizontal="center"/>
    </xf>
    <xf numFmtId="0" fontId="7" fillId="0" borderId="47" xfId="0" applyFont="1" applyBorder="1" applyAlignment="1">
      <alignment horizontal="center"/>
    </xf>
    <xf numFmtId="0" fontId="7" fillId="0" borderId="6" xfId="0" applyFont="1" applyBorder="1" applyAlignment="1">
      <alignment horizontal="left"/>
    </xf>
    <xf numFmtId="166" fontId="58" fillId="10" borderId="6" xfId="4" applyNumberFormat="1" applyFont="1" applyFill="1" applyBorder="1" applyAlignment="1">
      <alignment horizontal="center" vertical="center" wrapText="1"/>
    </xf>
    <xf numFmtId="166" fontId="5" fillId="0" borderId="19" xfId="4" applyNumberFormat="1" applyFont="1" applyBorder="1" applyAlignment="1">
      <alignment horizontal="left"/>
    </xf>
    <xf numFmtId="0" fontId="31" fillId="14" borderId="55" xfId="1" applyFont="1" applyFill="1" applyBorder="1" applyAlignment="1">
      <alignment horizontal="center" vertical="center" wrapText="1"/>
    </xf>
    <xf numFmtId="166" fontId="5" fillId="0" borderId="45" xfId="4" applyNumberFormat="1" applyFont="1" applyBorder="1" applyAlignment="1">
      <alignment horizontal="left"/>
    </xf>
    <xf numFmtId="0" fontId="8" fillId="19" borderId="2" xfId="1" applyFont="1" applyFill="1" applyBorder="1" applyAlignment="1">
      <alignment horizontal="center" vertical="center" wrapText="1"/>
    </xf>
    <xf numFmtId="0" fontId="8" fillId="19" borderId="41" xfId="1" applyFont="1" applyFill="1" applyBorder="1" applyAlignment="1">
      <alignment horizontal="center" vertical="center" wrapText="1"/>
    </xf>
    <xf numFmtId="0" fontId="0" fillId="0" borderId="0" xfId="0" applyAlignment="1">
      <alignment horizontal="center" vertical="center" wrapText="1"/>
    </xf>
    <xf numFmtId="166" fontId="0" fillId="0" borderId="0" xfId="4" applyNumberFormat="1" applyFont="1" applyAlignment="1">
      <alignment horizontal="center" vertical="center" wrapText="1"/>
    </xf>
    <xf numFmtId="166" fontId="0" fillId="44" borderId="0" xfId="4" applyNumberFormat="1" applyFont="1" applyFill="1" applyAlignment="1">
      <alignment horizontal="center" vertical="center" wrapText="1"/>
    </xf>
    <xf numFmtId="166" fontId="0" fillId="44" borderId="0" xfId="4" applyNumberFormat="1" applyFont="1" applyFill="1" applyAlignment="1">
      <alignment horizontal="center" vertical="center"/>
    </xf>
    <xf numFmtId="0" fontId="0" fillId="44" borderId="0" xfId="0" applyFill="1"/>
    <xf numFmtId="166" fontId="0" fillId="45" borderId="0" xfId="4" applyNumberFormat="1" applyFont="1" applyFill="1" applyAlignment="1">
      <alignment horizontal="center" vertical="center" wrapText="1"/>
    </xf>
    <xf numFmtId="166" fontId="0" fillId="8" borderId="0" xfId="4" applyNumberFormat="1" applyFont="1" applyFill="1" applyAlignment="1">
      <alignment horizontal="center" vertical="center" wrapText="1"/>
    </xf>
    <xf numFmtId="166" fontId="0" fillId="46" borderId="0" xfId="4" applyNumberFormat="1" applyFont="1" applyFill="1" applyAlignment="1">
      <alignment horizontal="center" vertical="center" wrapText="1"/>
    </xf>
    <xf numFmtId="166" fontId="0" fillId="41" borderId="0" xfId="4" applyNumberFormat="1" applyFont="1" applyFill="1" applyAlignment="1">
      <alignment horizontal="center" vertical="center" wrapText="1"/>
    </xf>
    <xf numFmtId="166" fontId="0" fillId="47" borderId="0" xfId="4" applyNumberFormat="1" applyFont="1" applyFill="1" applyAlignment="1">
      <alignment horizontal="center" vertical="center" wrapText="1"/>
    </xf>
    <xf numFmtId="166" fontId="60" fillId="45" borderId="0" xfId="4" applyNumberFormat="1" applyFont="1" applyFill="1" applyAlignment="1">
      <alignment horizontal="center" vertical="center" wrapText="1"/>
    </xf>
    <xf numFmtId="166" fontId="60" fillId="8" borderId="0" xfId="4" applyNumberFormat="1" applyFont="1" applyFill="1" applyAlignment="1">
      <alignment horizontal="center" vertical="center" wrapText="1"/>
    </xf>
    <xf numFmtId="166" fontId="60" fillId="46" borderId="0" xfId="4" applyNumberFormat="1" applyFont="1" applyFill="1" applyAlignment="1">
      <alignment horizontal="center" vertical="center" wrapText="1"/>
    </xf>
    <xf numFmtId="166" fontId="60" fillId="41" borderId="0" xfId="4" applyNumberFormat="1" applyFont="1" applyFill="1" applyAlignment="1">
      <alignment horizontal="center" vertical="center" wrapText="1"/>
    </xf>
    <xf numFmtId="166" fontId="60" fillId="47" borderId="0" xfId="4" applyNumberFormat="1" applyFont="1" applyFill="1" applyAlignment="1">
      <alignment horizontal="center" vertical="center" wrapText="1"/>
    </xf>
    <xf numFmtId="0" fontId="0" fillId="0" borderId="0" xfId="0" applyFill="1"/>
    <xf numFmtId="166" fontId="0" fillId="0" borderId="0" xfId="0" applyNumberFormat="1"/>
    <xf numFmtId="0" fontId="0" fillId="18" borderId="0" xfId="0" applyFill="1" applyAlignment="1">
      <alignment horizontal="center" vertical="center" wrapText="1"/>
    </xf>
    <xf numFmtId="166" fontId="0" fillId="18" borderId="0" xfId="4" applyNumberFormat="1" applyFont="1" applyFill="1"/>
    <xf numFmtId="0" fontId="0" fillId="18" borderId="0" xfId="0" applyFill="1"/>
    <xf numFmtId="165" fontId="0" fillId="0" borderId="0" xfId="0" applyNumberFormat="1" applyAlignment="1">
      <alignment horizontal="center" vertical="center" textRotation="90"/>
    </xf>
    <xf numFmtId="0" fontId="0" fillId="0" borderId="0" xfId="0" applyFill="1" applyAlignment="1">
      <alignment horizontal="center" vertical="center"/>
    </xf>
    <xf numFmtId="166" fontId="0" fillId="0" borderId="0" xfId="0" applyNumberFormat="1" applyFill="1"/>
    <xf numFmtId="2" fontId="0" fillId="0" borderId="0" xfId="0" applyNumberFormat="1"/>
    <xf numFmtId="166" fontId="1" fillId="0" borderId="0" xfId="0" applyNumberFormat="1" applyFont="1"/>
    <xf numFmtId="0" fontId="8" fillId="0" borderId="0" xfId="1" applyFont="1" applyFill="1" applyAlignment="1">
      <alignment horizontal="right" vertical="top" wrapText="1"/>
    </xf>
    <xf numFmtId="166" fontId="5" fillId="0" borderId="0" xfId="4" applyNumberFormat="1" applyFont="1" applyFill="1" applyAlignment="1">
      <alignment horizontal="left"/>
    </xf>
    <xf numFmtId="166" fontId="0" fillId="0" borderId="0" xfId="4" applyNumberFormat="1" applyFont="1" applyFill="1" applyAlignment="1">
      <alignment horizontal="center" vertical="center"/>
    </xf>
    <xf numFmtId="0" fontId="47" fillId="0" borderId="0" xfId="1" applyFont="1" applyFill="1" applyAlignment="1">
      <alignment horizontal="center"/>
    </xf>
    <xf numFmtId="164" fontId="30" fillId="23" borderId="6" xfId="4" applyFont="1" applyFill="1" applyBorder="1" applyAlignment="1">
      <alignment horizontal="center" vertical="center"/>
    </xf>
    <xf numFmtId="164" fontId="30" fillId="23" borderId="6" xfId="4" applyFont="1" applyFill="1" applyBorder="1" applyAlignment="1">
      <alignment horizontal="center" vertical="center" wrapText="1"/>
    </xf>
    <xf numFmtId="164" fontId="30" fillId="23" borderId="6" xfId="4" applyFont="1" applyFill="1" applyBorder="1" applyAlignment="1">
      <alignment horizontal="center" wrapText="1"/>
    </xf>
    <xf numFmtId="164" fontId="30" fillId="23" borderId="47" xfId="4" applyFont="1" applyFill="1" applyBorder="1" applyAlignment="1">
      <alignment horizontal="center" vertical="center"/>
    </xf>
    <xf numFmtId="164" fontId="30" fillId="23" borderId="43" xfId="4" applyFont="1" applyFill="1" applyBorder="1" applyAlignment="1">
      <alignment horizontal="center" vertical="center"/>
    </xf>
    <xf numFmtId="0" fontId="53" fillId="10" borderId="39" xfId="0" applyFont="1" applyFill="1" applyBorder="1" applyAlignment="1">
      <alignment horizontal="center"/>
    </xf>
    <xf numFmtId="0" fontId="53" fillId="10" borderId="40" xfId="0" applyFont="1" applyFill="1" applyBorder="1" applyAlignment="1">
      <alignment horizontal="center"/>
    </xf>
    <xf numFmtId="0" fontId="7" fillId="21" borderId="35" xfId="0" applyFont="1" applyFill="1" applyBorder="1" applyAlignment="1">
      <alignment horizontal="center"/>
    </xf>
    <xf numFmtId="0" fontId="7" fillId="21" borderId="36" xfId="0" applyFont="1" applyFill="1" applyBorder="1" applyAlignment="1">
      <alignment horizontal="center"/>
    </xf>
    <xf numFmtId="0" fontId="42" fillId="0" borderId="29" xfId="0" applyFont="1" applyBorder="1" applyAlignment="1">
      <alignment horizontal="center"/>
    </xf>
    <xf numFmtId="0" fontId="42" fillId="0" borderId="30" xfId="0" applyFont="1" applyBorder="1" applyAlignment="1">
      <alignment horizontal="center"/>
    </xf>
    <xf numFmtId="0" fontId="15" fillId="21" borderId="35" xfId="0" applyFont="1" applyFill="1" applyBorder="1" applyAlignment="1">
      <alignment horizontal="center"/>
    </xf>
    <xf numFmtId="0" fontId="15" fillId="21" borderId="36" xfId="0" applyFont="1" applyFill="1" applyBorder="1" applyAlignment="1">
      <alignment horizontal="center"/>
    </xf>
    <xf numFmtId="0" fontId="30" fillId="23" borderId="6" xfId="1" applyFont="1" applyFill="1" applyBorder="1" applyAlignment="1">
      <alignment horizontal="center" vertical="center" wrapText="1"/>
    </xf>
    <xf numFmtId="0" fontId="30" fillId="23" borderId="6" xfId="1" applyFont="1" applyFill="1" applyBorder="1" applyAlignment="1">
      <alignment horizontal="center" vertical="center"/>
    </xf>
    <xf numFmtId="164" fontId="30" fillId="23" borderId="48" xfId="4" applyFont="1" applyFill="1" applyBorder="1" applyAlignment="1">
      <alignment horizontal="center" vertical="center"/>
    </xf>
    <xf numFmtId="164" fontId="30" fillId="23" borderId="48" xfId="4" applyFont="1" applyFill="1" applyBorder="1" applyAlignment="1">
      <alignment horizontal="center" vertical="center" wrapText="1"/>
    </xf>
    <xf numFmtId="164" fontId="30" fillId="23" borderId="47" xfId="4" applyFont="1" applyFill="1" applyBorder="1" applyAlignment="1">
      <alignment horizontal="center" vertical="center" wrapText="1"/>
    </xf>
    <xf numFmtId="164" fontId="30" fillId="23" borderId="43" xfId="4" applyFont="1" applyFill="1" applyBorder="1" applyAlignment="1">
      <alignment horizontal="center" vertical="center" wrapText="1"/>
    </xf>
    <xf numFmtId="0" fontId="33" fillId="15" borderId="48" xfId="1" applyFont="1" applyFill="1" applyBorder="1" applyAlignment="1">
      <alignment horizontal="center"/>
    </xf>
    <xf numFmtId="0" fontId="33" fillId="15" borderId="47" xfId="1" applyFont="1" applyFill="1" applyBorder="1" applyAlignment="1">
      <alignment horizontal="center"/>
    </xf>
    <xf numFmtId="0" fontId="33" fillId="15" borderId="43" xfId="1" applyFont="1" applyFill="1" applyBorder="1" applyAlignment="1">
      <alignment horizontal="center"/>
    </xf>
    <xf numFmtId="0" fontId="33" fillId="15" borderId="12" xfId="1" applyFont="1" applyFill="1" applyBorder="1" applyAlignment="1">
      <alignment horizontal="center"/>
    </xf>
    <xf numFmtId="0" fontId="33" fillId="15" borderId="0" xfId="1" applyFont="1" applyFill="1" applyBorder="1" applyAlignment="1">
      <alignment horizontal="center"/>
    </xf>
    <xf numFmtId="0" fontId="32" fillId="17" borderId="48" xfId="1" applyFont="1" applyFill="1" applyBorder="1" applyAlignment="1">
      <alignment horizontal="center"/>
    </xf>
    <xf numFmtId="0" fontId="32" fillId="17" borderId="47" xfId="1" applyFont="1" applyFill="1" applyBorder="1" applyAlignment="1">
      <alignment horizontal="center"/>
    </xf>
    <xf numFmtId="0" fontId="32" fillId="17" borderId="43" xfId="1" applyFont="1" applyFill="1" applyBorder="1" applyAlignment="1">
      <alignment horizontal="center"/>
    </xf>
    <xf numFmtId="0" fontId="7" fillId="0" borderId="6" xfId="0" applyFont="1" applyBorder="1" applyAlignment="1">
      <alignment horizontal="center"/>
    </xf>
    <xf numFmtId="0" fontId="7" fillId="0" borderId="48" xfId="0" applyFont="1" applyBorder="1" applyAlignment="1">
      <alignment horizontal="center"/>
    </xf>
    <xf numFmtId="0" fontId="7" fillId="0" borderId="47" xfId="0" applyFont="1" applyBorder="1" applyAlignment="1">
      <alignment horizontal="center"/>
    </xf>
    <xf numFmtId="0" fontId="7" fillId="0" borderId="43" xfId="0" applyFont="1" applyBorder="1" applyAlignment="1">
      <alignment horizontal="center"/>
    </xf>
    <xf numFmtId="0" fontId="59" fillId="42" borderId="48" xfId="0" applyFont="1" applyFill="1" applyBorder="1" applyAlignment="1">
      <alignment horizontal="center"/>
    </xf>
    <xf numFmtId="0" fontId="59" fillId="42" borderId="47" xfId="0" applyFont="1" applyFill="1" applyBorder="1" applyAlignment="1">
      <alignment horizontal="center"/>
    </xf>
    <xf numFmtId="0" fontId="59" fillId="42" borderId="43" xfId="0" applyFont="1" applyFill="1" applyBorder="1" applyAlignment="1">
      <alignment horizontal="center"/>
    </xf>
    <xf numFmtId="0" fontId="59" fillId="43" borderId="48" xfId="0" applyFont="1" applyFill="1" applyBorder="1" applyAlignment="1">
      <alignment horizontal="center"/>
    </xf>
    <xf numFmtId="0" fontId="59" fillId="43" borderId="47" xfId="0" applyFont="1" applyFill="1" applyBorder="1" applyAlignment="1">
      <alignment horizontal="center"/>
    </xf>
    <xf numFmtId="0" fontId="59" fillId="43" borderId="43" xfId="0" applyFont="1" applyFill="1" applyBorder="1" applyAlignment="1">
      <alignment horizontal="center"/>
    </xf>
  </cellXfs>
  <cellStyles count="7">
    <cellStyle name="Comma" xfId="4" builtinId="3"/>
    <cellStyle name="Comma 2" xfId="2" xr:uid="{D79F3616-043B-4087-8D8D-9B7B12652CE3}"/>
    <cellStyle name="Normal" xfId="0" builtinId="0"/>
    <cellStyle name="Normal 2" xfId="1" xr:uid="{D2F11BDB-DE5E-409A-A013-C7A11958CF43}"/>
    <cellStyle name="Normal 2 2" xfId="3" xr:uid="{BBD93165-49E3-45EB-A0FF-F57E99103004}"/>
    <cellStyle name="Normal 3" xfId="6" xr:uid="{494DCC5E-DE8B-42F3-8B1E-081E0C5F0F47}"/>
    <cellStyle name="Percent" xfId="5" builtinId="5"/>
  </cellStyles>
  <dxfs count="6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66" formatCode="_-* #,##0_-;\-* #,##0_-;_-* &quot;-&quot;??_-;_-@_-"/>
    </dxf>
    <dxf>
      <numFmt numFmtId="166" formatCode="_-* #,##0_-;\-* #,##0_-;_-* &quot;-&quot;??_-;_-@_-"/>
    </dxf>
    <dxf>
      <numFmt numFmtId="166" formatCode="_-* #,##0_-;\-* #,##0_-;_-* &quot;-&quot;??_-;_-@_-"/>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fill>
        <patternFill patternType="solid">
          <fgColor indexed="64"/>
          <bgColor rgb="FFC0000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fill>
        <patternFill patternType="solid">
          <fgColor indexed="64"/>
          <bgColor rgb="FFFF000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fill>
        <patternFill patternType="solid">
          <fgColor indexed="64"/>
          <bgColor rgb="FFFFC00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fill>
        <patternFill patternType="solid">
          <fgColor indexed="64"/>
          <bgColor theme="9" tint="0.79998168889431442"/>
        </patternFill>
      </fill>
      <alignment horizontal="center" vertical="center" textRotation="0" wrapText="1" indent="0" justifyLastLine="0" shrinkToFit="0" readingOrder="0"/>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theme="1"/>
        <name val="Calibri"/>
        <family val="2"/>
        <scheme val="minor"/>
      </font>
      <numFmt numFmtId="166" formatCode="_-* #,##0_-;\-* #,##0_-;_-* &quot;-&quot;??_-;_-@_-"/>
    </dxf>
    <dxf>
      <numFmt numFmtId="166" formatCode="_-* #,##0_-;\-* #,##0_-;_-* &quot;-&quot;??_-;_-@_-"/>
    </dxf>
    <dxf>
      <font>
        <b val="0"/>
        <i val="0"/>
        <strike val="0"/>
        <condense val="0"/>
        <extend val="0"/>
        <outline val="0"/>
        <shadow val="0"/>
        <u val="none"/>
        <vertAlign val="baseline"/>
        <sz val="11"/>
        <color theme="1"/>
        <name val="Calibri"/>
        <family val="2"/>
        <scheme val="minor"/>
      </font>
      <numFmt numFmtId="166" formatCode="_-* #,##0_-;\-* #,##0_-;_-* &quot;-&quot;??_-;_-@_-"/>
    </dxf>
    <dxf>
      <numFmt numFmtId="166" formatCode="_-* #,##0_-;\-* #,##0_-;_-* &quot;-&quot;??_-;_-@_-"/>
    </dxf>
    <dxf>
      <font>
        <b val="0"/>
        <i val="0"/>
        <strike val="0"/>
        <condense val="0"/>
        <extend val="0"/>
        <outline val="0"/>
        <shadow val="0"/>
        <u val="none"/>
        <vertAlign val="baseline"/>
        <sz val="11"/>
        <color theme="1"/>
        <name val="Calibri"/>
        <family val="2"/>
        <scheme val="minor"/>
      </font>
      <numFmt numFmtId="166" formatCode="_-* #,##0_-;\-* #,##0_-;_-* &quot;-&quot;??_-;_-@_-"/>
    </dxf>
    <dxf>
      <numFmt numFmtId="166" formatCode="_-* #,##0_-;\-* #,##0_-;_-* &quot;-&quot;??_-;_-@_-"/>
    </dxf>
    <dxf>
      <font>
        <b val="0"/>
        <i val="0"/>
        <strike val="0"/>
        <condense val="0"/>
        <extend val="0"/>
        <outline val="0"/>
        <shadow val="0"/>
        <u val="none"/>
        <vertAlign val="baseline"/>
        <sz val="11"/>
        <color theme="1"/>
        <name val="Calibri"/>
        <family val="2"/>
        <scheme val="minor"/>
      </font>
      <numFmt numFmtId="166" formatCode="_-* #,##0_-;\-* #,##0_-;_-* &quot;-&quot;??_-;_-@_-"/>
    </dxf>
    <dxf>
      <numFmt numFmtId="166" formatCode="_-* #,##0_-;\-* #,##0_-;_-* &quot;-&quot;??_-;_-@_-"/>
    </dxf>
    <dxf>
      <font>
        <b val="0"/>
        <i val="0"/>
        <strike val="0"/>
        <condense val="0"/>
        <extend val="0"/>
        <outline val="0"/>
        <shadow val="0"/>
        <u val="none"/>
        <vertAlign val="baseline"/>
        <sz val="11"/>
        <color theme="1"/>
        <name val="Calibri"/>
        <family val="2"/>
        <scheme val="minor"/>
      </font>
      <numFmt numFmtId="166" formatCode="_-* #,##0_-;\-* #,##0_-;_-* &quot;-&quot;??_-;_-@_-"/>
    </dxf>
    <dxf>
      <numFmt numFmtId="166" formatCode="_-* #,##0_-;\-* #,##0_-;_-* &quot;-&quot;??_-;_-@_-"/>
    </dxf>
    <dxf>
      <font>
        <b val="0"/>
        <i val="0"/>
        <strike val="0"/>
        <condense val="0"/>
        <extend val="0"/>
        <outline val="0"/>
        <shadow val="0"/>
        <u val="none"/>
        <vertAlign val="baseline"/>
        <sz val="11"/>
        <color theme="1"/>
        <name val="Calibri"/>
        <family val="2"/>
        <scheme val="minor"/>
      </font>
      <numFmt numFmtId="166" formatCode="_-* #,##0_-;\-* #,##0_-;_-* &quot;-&quot;??_-;_-@_-"/>
    </dxf>
    <dxf>
      <numFmt numFmtId="166" formatCode="_-* #,##0_-;\-* #,##0_-;_-* &quot;-&quot;??_-;_-@_-"/>
    </dxf>
    <dxf>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dxf>
    <dxf>
      <font>
        <b val="0"/>
        <i val="0"/>
        <strike val="0"/>
        <condense val="0"/>
        <extend val="0"/>
        <outline val="0"/>
        <shadow val="0"/>
        <u val="none"/>
        <vertAlign val="baseline"/>
        <sz val="11"/>
        <color theme="1"/>
        <name val="Calibri"/>
        <family val="2"/>
        <scheme val="minor"/>
      </font>
      <numFmt numFmtId="166" formatCode="_-* #,##0_-;\-* #,##0_-;_-* &quot;-&quot;??_-;_-@_-"/>
    </dxf>
    <dxf>
      <font>
        <b val="0"/>
        <i val="0"/>
        <strike val="0"/>
        <condense val="0"/>
        <extend val="0"/>
        <outline val="0"/>
        <shadow val="0"/>
        <u val="none"/>
        <vertAlign val="baseline"/>
        <sz val="11"/>
        <color theme="1"/>
        <name val="Calibri"/>
        <family val="2"/>
        <scheme val="minor"/>
      </font>
      <numFmt numFmtId="166" formatCode="_-* #,##0_-;\-* #,##0_-;_-* &quot;-&quot;??_-;_-@_-"/>
    </dxf>
    <dxf>
      <font>
        <b val="0"/>
        <i val="0"/>
        <strike val="0"/>
        <condense val="0"/>
        <extend val="0"/>
        <outline val="0"/>
        <shadow val="0"/>
        <u val="none"/>
        <vertAlign val="baseline"/>
        <sz val="11"/>
        <color theme="1"/>
        <name val="Calibri"/>
        <family val="2"/>
        <scheme val="minor"/>
      </font>
      <numFmt numFmtId="166" formatCode="_-* #,##0_-;\-* #,##0_-;_-* &quot;-&quot;??_-;_-@_-"/>
    </dxf>
    <dxf>
      <font>
        <b val="0"/>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theme="5" tint="0.399975585192419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alignment horizontal="left" vertical="bottom"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alignment horizontal="left" vertical="bottom"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alignment horizontal="left" vertical="bottom" textRotation="0" wrapText="0" indent="0" justifyLastLine="0" shrinkToFit="0" readingOrder="0"/>
      <border diagonalUp="0" diagonalDown="0">
        <left/>
        <right style="thin">
          <color theme="4" tint="0.39994506668294322"/>
        </right>
        <top style="thin">
          <color theme="4" tint="0.39994506668294322"/>
        </top>
        <bottom style="thin">
          <color theme="4" tint="0.39994506668294322"/>
        </bottom>
        <vertical/>
        <horizontal/>
      </border>
    </dxf>
    <dxf>
      <border outline="0">
        <left style="thin">
          <color rgb="FF8EA9DB"/>
        </left>
      </border>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166" formatCode="_-* #,##0_-;\-* #,##0_-;_-* &quot;-&quot;??_-;_-@_-"/>
      <alignment horizontal="center" vertical="center" textRotation="0" indent="0" justifyLastLine="0" shrinkToFit="0" readingOrder="0"/>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font>
        <b/>
        <i val="0"/>
        <strike val="0"/>
        <condense val="0"/>
        <extend val="0"/>
        <outline val="0"/>
        <shadow val="0"/>
        <u val="none"/>
        <vertAlign val="baseline"/>
        <sz val="11"/>
        <color theme="1"/>
        <name val="Calibri"/>
        <family val="2"/>
        <scheme val="minor"/>
      </font>
      <numFmt numFmtId="166" formatCode="_-* #,##0_-;\-* #,##0_-;_-* &quot;-&quot;??_-;_-@_-"/>
    </dxf>
    <dxf>
      <numFmt numFmtId="166" formatCode="_-* #,##0_-;\-* #,##0_-;_-* &quot;-&quot;??_-;_-@_-"/>
    </dxf>
    <dxf>
      <font>
        <b/>
        <i val="0"/>
        <strike val="0"/>
        <condense val="0"/>
        <extend val="0"/>
        <outline val="0"/>
        <shadow val="0"/>
        <u val="none"/>
        <vertAlign val="baseline"/>
        <sz val="11"/>
        <color theme="1"/>
        <name val="Calibri"/>
        <family val="2"/>
        <scheme val="minor"/>
      </font>
      <numFmt numFmtId="166" formatCode="_-* #,##0_-;\-* #,##0_-;_-* &quot;-&quot;??_-;_-@_-"/>
      <fill>
        <patternFill patternType="solid">
          <fgColor theme="4" tint="0.79998168889431442"/>
          <bgColor theme="9" tint="-0.249977111117893"/>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66" formatCode="_-* #,##0_-;\-* #,##0_-;_-* &quot;-&quot;??_-;_-@_-"/>
      <alignment horizontal="center" vertical="center" textRotation="0" wrapText="0" indent="0" justifyLastLine="0" shrinkToFit="0" readingOrder="0"/>
    </dxf>
    <dxf>
      <numFmt numFmtId="166" formatCode="_-* #,##0_-;\-* #,##0_-;_-* &quot;-&quot;??_-;_-@_-"/>
      <alignment horizontal="general" vertical="center" textRotation="0" wrapText="0" indent="0" justifyLastLine="0" shrinkToFit="0" readingOrder="0"/>
    </dxf>
    <dxf>
      <numFmt numFmtId="166" formatCode="_-* #,##0_-;\-* #,##0_-;_-* &quot;-&quot;??_-;_-@_-"/>
    </dxf>
    <dxf>
      <border outline="0">
        <bottom style="thick">
          <color theme="0"/>
        </bottom>
      </border>
    </dxf>
    <dxf>
      <font>
        <b/>
        <i val="0"/>
        <strike val="0"/>
        <condense val="0"/>
        <extend val="0"/>
        <outline val="0"/>
        <shadow val="0"/>
        <u val="none"/>
        <vertAlign val="baseline"/>
        <sz val="11"/>
        <color theme="0"/>
        <name val="Calibri"/>
        <family val="2"/>
        <scheme val="none"/>
      </font>
      <numFmt numFmtId="166" formatCode="_-* #,##0_-;\-* #,##0_-;_-* &quot;-&quot;??_-;_-@_-"/>
      <fill>
        <patternFill patternType="solid">
          <fgColor theme="4"/>
          <bgColor theme="4"/>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66" formatCode="_-* #,##0_-;\-* #,##0_-;_-* &quot;-&quot;??_-;_-@_-"/>
      <alignment horizontal="center" vertical="center" textRotation="0" wrapText="0" indent="0" justifyLastLine="0" shrinkToFit="0" readingOrder="0"/>
    </dxf>
    <dxf>
      <numFmt numFmtId="166" formatCode="_-* #,##0_-;\-* #,##0_-;_-* &quot;-&quot;??_-;_-@_-"/>
      <alignment horizontal="center" vertical="center" textRotation="0" wrapText="0" indent="0" justifyLastLine="0" shrinkToFit="0" readingOrder="0"/>
    </dxf>
    <dxf>
      <numFmt numFmtId="166" formatCode="_-* #,##0_-;\-* #,##0_-;_-* &quot;-&quot;??_-;_-@_-"/>
      <alignment horizontal="center" vertical="center" textRotation="0" wrapText="0" indent="0" justifyLastLine="0" shrinkToFit="0" readingOrder="0"/>
    </dxf>
    <dxf>
      <numFmt numFmtId="166" formatCode="_-* #,##0_-;\-* #,##0_-;_-* &quot;-&quot;??_-;_-@_-"/>
      <alignment horizontal="center" vertical="center" textRotation="0" wrapText="0" indent="0" justifyLastLine="0" shrinkToFit="0" readingOrder="0"/>
    </dxf>
    <dxf>
      <numFmt numFmtId="166" formatCode="_-* #,##0_-;\-* #,##0_-;_-* &quot;-&quot;??_-;_-@_-"/>
      <alignment horizontal="general" vertical="center" textRotation="0" indent="0" justifyLastLine="0" shrinkToFit="0" readingOrder="0"/>
    </dxf>
    <dxf>
      <numFmt numFmtId="166" formatCode="_-* #,##0_-;\-* #,##0_-;_-* &quot;-&quot;??_-;_-@_-"/>
      <alignment horizontal="general" vertical="center" textRotation="0" indent="0" justifyLastLine="0" shrinkToFit="0" readingOrder="0"/>
    </dxf>
    <dxf>
      <numFmt numFmtId="166" formatCode="_-* #,##0_-;\-* #,##0_-;_-* &quot;-&quot;??_-;_-@_-"/>
      <alignment horizontal="general" vertical="center" textRotation="0" wrapText="1" indent="0" justifyLastLine="0" shrinkToFit="0" readingOrder="0"/>
    </dxf>
    <dxf>
      <font>
        <b/>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rgb="FF00B0F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rgb="FF00B0F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rgb="FF00B0F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top style="thin">
          <color theme="4" tint="0.39997558519241921"/>
        </top>
        <bottom/>
      </border>
    </dxf>
    <dxf>
      <font>
        <b/>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rgb="FF00B0F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4" tint="0.39997558519241921"/>
        </top>
        <bottom/>
      </border>
    </dxf>
    <dxf>
      <font>
        <b/>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rgb="FF00B0F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theme="4" tint="0.39997558519241921"/>
        </left>
        <right/>
        <top/>
        <bottom/>
        <vertical/>
        <horizontal/>
      </border>
    </dxf>
    <dxf>
      <font>
        <b/>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rgb="FF00B0F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rgb="FF00B0F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39997558519241921"/>
        </right>
        <top style="thin">
          <color theme="4" tint="0.39997558519241921"/>
        </top>
        <bottom/>
      </border>
    </dxf>
    <dxf>
      <font>
        <b/>
        <i val="0"/>
        <strike val="0"/>
        <condense val="0"/>
        <extend val="0"/>
        <outline val="0"/>
        <shadow val="0"/>
        <u val="none"/>
        <vertAlign val="baseline"/>
        <sz val="10"/>
        <color theme="1"/>
        <name val="Calibri Light"/>
        <family val="2"/>
        <scheme val="major"/>
      </font>
      <numFmt numFmtId="0" formatCode="General"/>
      <fill>
        <patternFill patternType="solid">
          <fgColor indexed="64"/>
          <bgColor rgb="FF00B0F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39997558519241921"/>
        </right>
        <top style="thin">
          <color theme="4" tint="0.39997558519241921"/>
        </top>
        <bottom/>
      </border>
    </dxf>
    <dxf>
      <font>
        <b/>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rgb="FF00B0F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rgb="FF00B0F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39997558519241921"/>
        </right>
        <top style="thin">
          <color theme="4" tint="0.39997558519241921"/>
        </top>
        <bottom/>
      </border>
    </dxf>
    <dxf>
      <font>
        <b/>
        <i val="0"/>
        <strike val="0"/>
        <condense val="0"/>
        <extend val="0"/>
        <outline val="0"/>
        <shadow val="0"/>
        <u val="none"/>
        <vertAlign val="baseline"/>
        <sz val="10"/>
        <color theme="1"/>
        <name val="Calibri Light"/>
        <family val="2"/>
        <scheme val="major"/>
      </font>
      <numFmt numFmtId="0" formatCode="General"/>
      <fill>
        <patternFill patternType="solid">
          <fgColor indexed="64"/>
          <bgColor rgb="FF00B0F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39997558519241921"/>
        </right>
        <top style="thin">
          <color theme="4" tint="0.39997558519241921"/>
        </top>
        <bottom/>
      </border>
    </dxf>
    <dxf>
      <font>
        <b/>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rgb="FF00B0F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rgb="FF00B0F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39997558519241921"/>
        </right>
        <top style="thin">
          <color theme="4" tint="0.39997558519241921"/>
        </top>
        <bottom/>
      </border>
    </dxf>
    <dxf>
      <font>
        <b/>
        <i val="0"/>
        <strike val="0"/>
        <condense val="0"/>
        <extend val="0"/>
        <outline val="0"/>
        <shadow val="0"/>
        <u val="none"/>
        <vertAlign val="baseline"/>
        <sz val="10"/>
        <color theme="1"/>
        <name val="Calibri Light"/>
        <family val="2"/>
        <scheme val="major"/>
      </font>
      <numFmt numFmtId="1" formatCode="0"/>
      <fill>
        <patternFill patternType="solid">
          <fgColor indexed="64"/>
          <bgColor rgb="FF00B0F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39997558519241921"/>
        </right>
        <top style="thin">
          <color theme="4" tint="0.39997558519241921"/>
        </top>
        <bottom/>
      </border>
    </dxf>
    <dxf>
      <font>
        <b/>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rgb="FF00B0F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rgb="FF00B0F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i val="0"/>
        <strike val="0"/>
        <condense val="0"/>
        <extend val="0"/>
        <outline val="0"/>
        <shadow val="0"/>
        <u val="none"/>
        <vertAlign val="baseline"/>
        <sz val="10"/>
        <color theme="1"/>
        <name val="Calibri Light"/>
        <family val="2"/>
        <scheme val="major"/>
      </font>
      <numFmt numFmtId="1" formatCode="0"/>
      <fill>
        <patternFill patternType="solid">
          <fgColor indexed="64"/>
          <bgColor rgb="FF00B0F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39997558519241921"/>
        </right>
        <top style="thin">
          <color theme="4" tint="0.39997558519241921"/>
        </top>
        <bottom/>
      </border>
    </dxf>
    <dxf>
      <font>
        <b/>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rgb="FF00B0F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rgb="FF00B0F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39997558519241921"/>
        </right>
        <top style="thin">
          <color theme="4" tint="0.39997558519241921"/>
        </top>
        <bottom/>
      </border>
    </dxf>
    <dxf>
      <font>
        <b/>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rgb="FF00B0F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theme="4" tint="0.39997558519241921"/>
        </left>
        <right/>
        <top/>
        <bottom/>
        <vertical/>
        <horizontal/>
      </border>
    </dxf>
    <dxf>
      <font>
        <b/>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rgb="FF00B0F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rgb="FF00B0F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39997558519241921"/>
        </right>
        <top style="thin">
          <color theme="4" tint="0.39997558519241921"/>
        </top>
        <bottom/>
      </border>
    </dxf>
    <dxf>
      <font>
        <b/>
        <i val="0"/>
        <strike val="0"/>
        <condense val="0"/>
        <extend val="0"/>
        <outline val="0"/>
        <shadow val="0"/>
        <u val="none"/>
        <vertAlign val="baseline"/>
        <sz val="10"/>
        <color theme="1"/>
        <name val="Calibri Light"/>
        <family val="2"/>
        <scheme val="major"/>
      </font>
      <numFmt numFmtId="0" formatCode="General"/>
      <fill>
        <patternFill patternType="solid">
          <fgColor indexed="64"/>
          <bgColor rgb="FF00B0F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39997558519241921"/>
        </right>
        <top style="thin">
          <color theme="4" tint="0.39997558519241921"/>
        </top>
        <bottom/>
      </border>
    </dxf>
    <dxf>
      <font>
        <b/>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rgb="FF00B0F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rgb="FF00B0F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39997558519241921"/>
        </right>
        <top style="thin">
          <color theme="4" tint="0.39997558519241921"/>
        </top>
        <bottom/>
      </border>
    </dxf>
    <dxf>
      <font>
        <b/>
        <i val="0"/>
        <strike val="0"/>
        <condense val="0"/>
        <extend val="0"/>
        <outline val="0"/>
        <shadow val="0"/>
        <u val="none"/>
        <vertAlign val="baseline"/>
        <sz val="10"/>
        <color theme="1"/>
        <name val="Calibri Light"/>
        <family val="2"/>
        <scheme val="major"/>
      </font>
      <numFmt numFmtId="0" formatCode="General"/>
      <fill>
        <patternFill patternType="solid">
          <fgColor indexed="64"/>
          <bgColor rgb="FF00B0F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39997558519241921"/>
        </right>
        <top style="thin">
          <color theme="4" tint="0.39997558519241921"/>
        </top>
        <bottom/>
      </border>
    </dxf>
    <dxf>
      <font>
        <b/>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rgb="FF00B0F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4" tint="0.39997558519241921"/>
        </top>
        <bottom/>
      </border>
    </dxf>
    <dxf>
      <font>
        <b/>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rgb="FF00B0F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39997558519241921"/>
        </right>
        <top style="thin">
          <color theme="4" tint="0.39997558519241921"/>
        </top>
        <bottom/>
      </border>
    </dxf>
    <dxf>
      <font>
        <b/>
        <i val="0"/>
        <strike val="0"/>
        <condense val="0"/>
        <extend val="0"/>
        <outline val="0"/>
        <shadow val="0"/>
        <u val="none"/>
        <vertAlign val="baseline"/>
        <sz val="10"/>
        <color theme="1"/>
        <name val="Calibri Light"/>
        <family val="2"/>
        <scheme val="major"/>
      </font>
      <numFmt numFmtId="0" formatCode="General"/>
      <fill>
        <patternFill patternType="solid">
          <fgColor indexed="64"/>
          <bgColor rgb="FF00B0F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left" vertical="bottom" textRotation="0" wrapText="0" indent="0" justifyLastLine="0" shrinkToFit="0" readingOrder="0"/>
      <border diagonalUp="0" diagonalDown="0" outline="0">
        <left style="thin">
          <color theme="4" tint="0.39994506668294322"/>
        </left>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left" vertical="bottom"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Light"/>
        <family val="2"/>
        <scheme val="major"/>
      </font>
      <fill>
        <patternFill patternType="none">
          <fgColor indexed="64"/>
          <bgColor indexed="65"/>
        </patternFill>
      </fill>
      <alignment horizontal="left" vertical="bottom" textRotation="0" wrapText="0" indent="0" justifyLastLine="0" shrinkToFit="0" readingOrder="0"/>
      <border diagonalUp="0" diagonalDown="0">
        <left/>
        <right/>
        <top style="thin">
          <color theme="4" tint="0.39997558519241921"/>
        </top>
        <bottom/>
        <vertical/>
        <horizontal/>
      </border>
    </dxf>
    <dxf>
      <border outline="0">
        <left style="thin">
          <color theme="4" tint="0.39997558519241921"/>
        </left>
      </border>
    </dxf>
    <dxf>
      <font>
        <b val="0"/>
        <i val="0"/>
        <strike val="0"/>
        <condense val="0"/>
        <extend val="0"/>
        <outline val="0"/>
        <shadow val="0"/>
        <u val="none"/>
        <vertAlign val="baseline"/>
        <sz val="10"/>
        <color theme="1"/>
        <name val="Calibri Light"/>
        <family val="2"/>
        <scheme val="maj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0"/>
        <color theme="0"/>
        <name val="Calibri Light"/>
        <family val="2"/>
        <charset val="204"/>
        <scheme val="major"/>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0"/>
        <color auto="1"/>
        <name val="Calibri Light"/>
        <family val="2"/>
        <scheme val="major"/>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Light"/>
        <family val="2"/>
        <scheme val="maj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theme="0"/>
        <name val="Roboto Condensed Light"/>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Light"/>
        <family val="2"/>
        <scheme val="maj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Light"/>
        <family val="2"/>
        <scheme val="major"/>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Light"/>
        <family val="2"/>
        <scheme val="major"/>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Light"/>
        <family val="2"/>
        <scheme val="major"/>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Light"/>
        <family val="2"/>
        <scheme val="major"/>
      </font>
      <fill>
        <patternFill patternType="none">
          <fgColor indexed="64"/>
          <bgColor indexed="65"/>
        </patternFill>
      </fill>
      <alignment horizontal="right" vertical="bottom" textRotation="0" wrapText="0" indent="0" justifyLastLine="0" shrinkToFit="0" readingOrder="0"/>
    </dxf>
    <dxf>
      <border outline="0">
        <bottom style="thick">
          <color theme="0"/>
        </bottom>
      </border>
    </dxf>
    <dxf>
      <font>
        <b/>
        <i val="0"/>
        <strike val="0"/>
        <condense val="0"/>
        <extend val="0"/>
        <outline val="0"/>
        <shadow val="0"/>
        <u val="none"/>
        <vertAlign val="baseline"/>
        <sz val="10"/>
        <color theme="4" tint="-0.249977111117893"/>
        <name val="Roboto Light"/>
        <scheme val="none"/>
      </font>
      <fill>
        <patternFill patternType="solid">
          <fgColor theme="8"/>
          <bgColor theme="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theme="4" tint="0.39994506668294322"/>
        </left>
        <right/>
        <top style="thin">
          <color theme="4" tint="0.39994506668294322"/>
        </top>
        <bottom style="thin">
          <color theme="4" tint="0.39994506668294322"/>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theme="1" tint="0.249977111117893"/>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theme="1" tint="0.249977111117893"/>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auto="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bottom style="thin">
          <color theme="4" tint="0.39994506668294322"/>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1" indent="0" justifyLastLine="0" shrinkToFit="0" readingOrder="0"/>
      <border diagonalUp="0" diagonalDown="0">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1" indent="0" justifyLastLine="0" shrinkToFit="0" readingOrder="0"/>
      <border diagonalUp="0" diagonalDown="0">
        <left style="thin">
          <color theme="4" tint="0.39997558519241921"/>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rgb="FF00B0F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theme="5" tint="0.399975585192419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Light"/>
        <family val="2"/>
        <scheme val="major"/>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left" vertical="bottom"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Light"/>
        <family val="2"/>
        <scheme val="major"/>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Light"/>
        <family val="2"/>
        <scheme val="major"/>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Light"/>
        <family val="2"/>
        <scheme val="major"/>
      </font>
      <fill>
        <patternFill patternType="none">
          <fgColor indexed="64"/>
          <bgColor indexed="65"/>
        </patternFill>
      </fill>
      <alignment horizontal="left" vertical="bottom" textRotation="0" wrapText="0" indent="0" justifyLastLine="0" shrinkToFit="0" readingOrder="0"/>
      <border diagonalUp="0" diagonalDown="0">
        <left/>
        <right/>
        <top style="thin">
          <color theme="4" tint="0.39997558519241921"/>
        </top>
        <bottom/>
        <vertical/>
        <horizontal/>
      </border>
    </dxf>
    <dxf>
      <border outline="0">
        <left style="thin">
          <color rgb="FF8EA9DB"/>
        </left>
      </border>
    </dxf>
    <dxf>
      <font>
        <b val="0"/>
        <i val="0"/>
        <strike val="0"/>
        <condense val="0"/>
        <extend val="0"/>
        <outline val="0"/>
        <shadow val="0"/>
        <u val="none"/>
        <vertAlign val="baseline"/>
        <sz val="10"/>
        <color rgb="FF000000"/>
        <name val="Calibri Light"/>
        <family val="2"/>
        <scheme val="none"/>
      </font>
      <fill>
        <patternFill patternType="none">
          <fgColor rgb="FF000000"/>
          <bgColor rgb="FFFFFFFF"/>
        </patternFill>
      </fill>
      <alignment horizontal="left" vertical="bottom" textRotation="0" wrapText="0" indent="0" justifyLastLine="0" shrinkToFit="0" readingOrder="0"/>
    </dxf>
    <dxf>
      <font>
        <b/>
        <i val="0"/>
        <strike val="0"/>
        <condense val="0"/>
        <extend val="0"/>
        <outline val="0"/>
        <shadow val="0"/>
        <u val="none"/>
        <vertAlign val="baseline"/>
        <sz val="10"/>
        <color theme="0"/>
        <name val="Calibri Light"/>
        <family val="2"/>
        <charset val="204"/>
        <scheme val="major"/>
      </font>
      <fill>
        <patternFill patternType="none">
          <fgColor indexed="64"/>
          <bgColor indexed="65"/>
        </patternFill>
      </fill>
      <alignment horizontal="right" vertical="top" textRotation="0" wrapText="1" indent="0" justifyLastLine="0" shrinkToFit="0" readingOrder="0"/>
    </dxf>
    <dxf>
      <numFmt numFmtId="166" formatCode="_-* #,##0_-;\-* #,##0_-;_-* &quot;-&quot;??_-;_-@_-"/>
      <alignment horizontal="center" vertical="center" textRotation="0" wrapText="0" indent="0" justifyLastLine="0" shrinkToFit="0" readingOrder="0"/>
    </dxf>
    <dxf>
      <numFmt numFmtId="166" formatCode="_-* #,##0_-;\-* #,##0_-;_-* &quot;-&quot;??_-;_-@_-"/>
    </dxf>
    <dxf>
      <numFmt numFmtId="166" formatCode="_-* #,##0_-;\-* #,##0_-;_-* &quot;-&quot;??_-;_-@_-"/>
    </dxf>
    <dxf>
      <border outline="0">
        <bottom style="thick">
          <color theme="0"/>
        </bottom>
      </border>
    </dxf>
    <dxf>
      <font>
        <b/>
        <i val="0"/>
        <strike val="0"/>
        <condense val="0"/>
        <extend val="0"/>
        <outline val="0"/>
        <shadow val="0"/>
        <u val="none"/>
        <vertAlign val="baseline"/>
        <sz val="11"/>
        <color rgb="FF000000"/>
        <name val="Calibri"/>
        <family val="2"/>
        <scheme val="none"/>
      </font>
      <numFmt numFmtId="166" formatCode="_-* #,##0_-;\-* #,##0_-;_-* &quot;-&quot;??_-;_-@_-"/>
      <fill>
        <patternFill patternType="solid">
          <fgColor theme="4"/>
          <bgColor theme="4"/>
        </patternFill>
      </fill>
      <border diagonalUp="0" diagonalDown="0" outline="0">
        <left style="thin">
          <color theme="0"/>
        </left>
        <right style="thin">
          <color theme="0"/>
        </right>
        <top/>
        <bottom/>
      </border>
    </dxf>
    <dxf>
      <font>
        <b val="0"/>
        <i val="0"/>
        <strike val="0"/>
        <condense val="0"/>
        <extend val="0"/>
        <outline val="0"/>
        <shadow val="0"/>
        <u val="none"/>
        <vertAlign val="baseline"/>
        <sz val="10"/>
        <color auto="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4"/>
        <color theme="0"/>
        <name val="Roboto Condensed"/>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rgb="FFFFFF00"/>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font>
        <b val="0"/>
        <i val="0"/>
        <strike val="0"/>
        <condense val="0"/>
        <extend val="0"/>
        <outline val="0"/>
        <shadow val="0"/>
        <u val="none"/>
        <vertAlign val="baseline"/>
        <sz val="10"/>
        <color theme="1"/>
        <name val="Calibri Light"/>
        <family val="2"/>
        <scheme val="major"/>
      </font>
      <fill>
        <patternFill patternType="none">
          <fgColor indexed="64"/>
          <bgColor theme="1" tint="0.249977111117893"/>
        </patternFill>
      </fill>
      <alignment horizontal="left" vertical="bottom" textRotation="0" wrapText="0" indent="0" justifyLastLine="0" shrinkToFit="0" readingOrder="0"/>
      <border diagonalUp="0" diagonalDown="0"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Calibri Light"/>
        <family val="2"/>
        <scheme val="maj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fill>
        <patternFill patternType="none">
          <fgColor indexed="64"/>
          <bgColor indexed="65"/>
        </patternFill>
      </fill>
      <alignment horizontal="left" vertical="bottom" textRotation="0" wrapText="0" indent="0" justifyLastLine="0" shrinkToFit="0" readingOrder="0"/>
      <border diagonalUp="0" diagonalDown="0"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0"/>
        <color theme="1"/>
        <name val="Calibri Light"/>
        <family val="2"/>
        <scheme val="major"/>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Light"/>
        <family val="2"/>
        <scheme val="major"/>
      </font>
      <fill>
        <patternFill patternType="none">
          <fgColor indexed="64"/>
          <bgColor indexed="65"/>
        </patternFill>
      </fill>
      <alignment horizontal="left" vertical="bottom" textRotation="0" wrapText="0"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border outline="0">
        <left style="thin">
          <color theme="4" tint="0.39997558519241921"/>
        </left>
      </border>
    </dxf>
    <dxf>
      <font>
        <b val="0"/>
        <i val="0"/>
        <strike val="0"/>
        <condense val="0"/>
        <extend val="0"/>
        <outline val="0"/>
        <shadow val="0"/>
        <u val="none"/>
        <vertAlign val="baseline"/>
        <sz val="10"/>
        <color theme="1"/>
        <name val="Calibri Light"/>
        <family val="2"/>
        <scheme val="maj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0"/>
        <color theme="0"/>
        <name val="Calibri Light"/>
        <family val="2"/>
        <charset val="204"/>
        <scheme val="major"/>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fill>
        <patternFill patternType="none">
          <fgColor indexed="64"/>
          <bgColor indexed="65"/>
        </patternFill>
      </fill>
      <alignment horizontal="left" vertical="bottom" textRotation="0" wrapText="0" indent="0" justifyLastLine="0" shrinkToFit="0" readingOrder="0"/>
      <border diagonalUp="0" diagonalDown="0" outline="0">
        <left/>
        <right style="thin">
          <color theme="4" tint="0.39997558519241921"/>
        </right>
        <top style="thin">
          <color theme="4" tint="0.39997558519241921"/>
        </top>
        <bottom/>
      </border>
    </dxf>
    <dxf>
      <font>
        <b val="0"/>
        <i val="0"/>
        <strike val="0"/>
        <condense val="0"/>
        <extend val="0"/>
        <outline val="0"/>
        <shadow val="0"/>
        <u val="none"/>
        <vertAlign val="baseline"/>
        <sz val="10"/>
        <color theme="1"/>
        <name val="Calibri Light"/>
        <family val="2"/>
        <scheme val="major"/>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Light"/>
        <family val="2"/>
        <scheme val="major"/>
      </font>
      <fill>
        <patternFill patternType="none">
          <fgColor indexed="64"/>
          <bgColor indexed="65"/>
        </patternFill>
      </fill>
      <alignment horizontal="left" vertical="bottom" textRotation="0" wrapText="0" indent="0" justifyLastLine="0" shrinkToFit="0" readingOrder="0"/>
      <border diagonalUp="0" diagonalDown="0">
        <left/>
        <right/>
        <top style="thin">
          <color theme="4" tint="0.39997558519241921"/>
        </top>
        <bottom/>
        <vertical/>
        <horizontal/>
      </border>
    </dxf>
    <dxf>
      <border outline="0">
        <left style="thin">
          <color theme="4" tint="0.39997558519241921"/>
        </left>
      </border>
    </dxf>
    <dxf>
      <font>
        <b val="0"/>
        <i val="0"/>
        <strike val="0"/>
        <condense val="0"/>
        <extend val="0"/>
        <outline val="0"/>
        <shadow val="0"/>
        <u val="none"/>
        <vertAlign val="baseline"/>
        <sz val="10"/>
        <color theme="1"/>
        <name val="Calibri Light"/>
        <family val="2"/>
        <scheme val="maj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0"/>
        <color theme="0"/>
        <name val="Calibri Light"/>
        <family val="2"/>
        <charset val="204"/>
        <scheme val="maj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Light"/>
        <family val="2"/>
        <scheme val="maj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Light"/>
        <family val="2"/>
        <scheme val="maj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theme="0"/>
        <name val="Roboto Condensed Light"/>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Light"/>
        <family val="2"/>
        <scheme val="maj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Light"/>
        <family val="2"/>
        <scheme val="major"/>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Light"/>
        <family val="2"/>
        <scheme val="major"/>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Light"/>
        <family val="2"/>
        <scheme val="major"/>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Light"/>
        <family val="2"/>
        <scheme val="major"/>
      </font>
      <fill>
        <patternFill patternType="none">
          <fgColor indexed="64"/>
          <bgColor indexed="65"/>
        </patternFill>
      </fill>
      <alignment horizontal="right" vertical="bottom" textRotation="0" wrapText="0" indent="0" justifyLastLine="0" shrinkToFit="0" readingOrder="0"/>
    </dxf>
    <dxf>
      <border outline="0">
        <bottom style="thick">
          <color theme="0"/>
        </bottom>
      </border>
    </dxf>
    <dxf>
      <font>
        <b/>
        <i val="0"/>
        <strike val="0"/>
        <condense val="0"/>
        <extend val="0"/>
        <outline val="0"/>
        <shadow val="0"/>
        <u val="none"/>
        <vertAlign val="baseline"/>
        <sz val="10"/>
        <color theme="4" tint="-0.249977111117893"/>
        <name val="Roboto Light"/>
        <scheme val="none"/>
      </font>
      <fill>
        <patternFill patternType="solid">
          <fgColor theme="8"/>
          <bgColor theme="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auto="1"/>
        <name val="Calibri Light"/>
        <family val="2"/>
        <scheme val="major"/>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Light"/>
        <family val="2"/>
        <scheme val="major"/>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Light"/>
        <family val="2"/>
        <scheme val="major"/>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Light"/>
        <family val="2"/>
        <scheme val="major"/>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Light"/>
        <family val="2"/>
        <scheme val="major"/>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Light"/>
        <family val="2"/>
        <scheme val="major"/>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Light"/>
        <family val="2"/>
        <scheme val="major"/>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Light"/>
        <family val="2"/>
        <scheme val="major"/>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Light"/>
        <family val="2"/>
        <scheme val="major"/>
      </font>
      <numFmt numFmtId="166"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Calibri Light"/>
        <family val="2"/>
        <scheme val="major"/>
      </font>
      <numFmt numFmtId="166"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4"/>
        <color theme="0"/>
        <name val="Roboto Condensed"/>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theme="4" tint="0.39994506668294322"/>
        </left>
        <right/>
        <top style="thin">
          <color theme="4" tint="0.39994506668294322"/>
        </top>
        <bottom style="thin">
          <color theme="4" tint="0.39994506668294322"/>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theme="1" tint="0.249977111117893"/>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theme="1" tint="0.249977111117893"/>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auto="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bottom style="thin">
          <color theme="4" tint="0.39994506668294322"/>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1" indent="0" justifyLastLine="0" shrinkToFit="0" readingOrder="0"/>
      <border diagonalUp="0" diagonalDown="0">
        <left style="thin">
          <color theme="4" tint="0.39997558519241921"/>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39994506668294322"/>
        </right>
        <top style="thin">
          <color theme="4" tint="0.39994506668294322"/>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theme="4" tint="0.39994506668294322"/>
        </left>
        <right style="thin">
          <color theme="4" tint="0.39994506668294322"/>
        </right>
        <top style="thin">
          <color theme="4" tint="0.39994506668294322"/>
        </top>
        <bottom style="thin">
          <color theme="4" tint="0.39994506668294322"/>
        </bottom>
        <vertical/>
        <horizontal/>
      </border>
    </dxf>
    <dxf>
      <font>
        <b/>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rgb="FF00B0F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theme="5" tint="0.399975585192419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rgb="FF00B0F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Light"/>
        <family val="2"/>
        <scheme val="major"/>
      </font>
      <numFmt numFmtId="166" formatCode="_-* #,##0_-;\-* #,##0_-;_-* &quot;-&quot;??_-;_-@_-"/>
      <fill>
        <patternFill patternType="solid">
          <fgColor indexed="64"/>
          <bgColor theme="5" tint="0.39997558519241921"/>
        </patternFill>
      </fill>
      <alignment horizontal="center" vertical="center" textRotation="0" wrapText="0" indent="0" justifyLastLine="0" shrinkToFit="0" readingOrder="0"/>
      <border diagonalUp="0" diagonalDown="0" outline="0">
        <left style="thin">
          <color theme="4" tint="0.39994506668294322"/>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left" vertical="bottom"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10"/>
        <color theme="1"/>
        <name val="Calibri Light"/>
        <family val="2"/>
        <scheme val="major"/>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left" vertical="bottom"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10"/>
        <color theme="1"/>
        <name val="Calibri Light"/>
        <family val="2"/>
        <scheme val="major"/>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0"/>
        <color theme="1"/>
        <name val="Calibri Light"/>
        <family val="2"/>
        <scheme val="major"/>
      </font>
      <numFmt numFmtId="166" formatCode="_-* #,##0_-;\-* #,##0_-;_-* &quot;-&quot;??_-;_-@_-"/>
      <fill>
        <patternFill patternType="none">
          <fgColor indexed="64"/>
          <bgColor indexed="65"/>
        </patternFill>
      </fill>
      <alignment horizontal="left" vertical="bottom" textRotation="0" wrapText="0"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border outline="0">
        <left style="thin">
          <color rgb="FF8EA9DB"/>
        </left>
      </border>
    </dxf>
    <dxf>
      <font>
        <b val="0"/>
        <i val="0"/>
        <strike val="0"/>
        <condense val="0"/>
        <extend val="0"/>
        <outline val="0"/>
        <shadow val="0"/>
        <u val="none"/>
        <vertAlign val="baseline"/>
        <sz val="10"/>
        <color rgb="FF000000"/>
        <name val="Calibri Light"/>
        <family val="2"/>
        <scheme val="none"/>
      </font>
      <fill>
        <patternFill patternType="none">
          <fgColor rgb="FF000000"/>
          <bgColor rgb="FFFFFFFF"/>
        </patternFill>
      </fill>
      <alignment horizontal="left" vertical="bottom" textRotation="0" wrapText="0" indent="0" justifyLastLine="0" shrinkToFit="0" readingOrder="0"/>
    </dxf>
    <dxf>
      <font>
        <b/>
        <i val="0"/>
        <strike val="0"/>
        <condense val="0"/>
        <extend val="0"/>
        <outline val="0"/>
        <shadow val="0"/>
        <u val="none"/>
        <vertAlign val="baseline"/>
        <sz val="10"/>
        <color theme="0"/>
        <name val="Calibri Light"/>
        <family val="2"/>
        <charset val="204"/>
        <scheme val="major"/>
      </font>
      <fill>
        <patternFill patternType="none">
          <fgColor indexed="64"/>
          <bgColor indexed="65"/>
        </patternFill>
      </fill>
      <alignment horizontal="righ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0</xdr:colOff>
      <xdr:row>15</xdr:row>
      <xdr:rowOff>0</xdr:rowOff>
    </xdr:from>
    <xdr:ext cx="6924675" cy="1400175"/>
    <xdr:pic>
      <xdr:nvPicPr>
        <xdr:cNvPr id="2" name="image1.png">
          <a:extLst>
            <a:ext uri="{FF2B5EF4-FFF2-40B4-BE49-F238E27FC236}">
              <a16:creationId xmlns:a16="http://schemas.microsoft.com/office/drawing/2014/main" id="{8F00F027-826D-4A0A-8C7D-E52784B1D5A1}"/>
            </a:ext>
          </a:extLst>
        </xdr:cNvPr>
        <xdr:cNvPicPr preferRelativeResize="0"/>
      </xdr:nvPicPr>
      <xdr:blipFill>
        <a:blip xmlns:r="http://schemas.openxmlformats.org/officeDocument/2006/relationships" r:embed="rId1" cstate="print"/>
        <a:stretch>
          <a:fillRect/>
        </a:stretch>
      </xdr:blipFill>
      <xdr:spPr>
        <a:xfrm>
          <a:off x="0" y="2762250"/>
          <a:ext cx="6924675" cy="1400175"/>
        </a:xfrm>
        <a:prstGeom prst="rect">
          <a:avLst/>
        </a:prstGeom>
        <a:noFill/>
      </xdr:spPr>
    </xdr:pic>
    <xdr:clientData fLocksWithSheet="0"/>
  </xdr:oneCellAnchor>
  <xdr:oneCellAnchor>
    <xdr:from>
      <xdr:col>0</xdr:col>
      <xdr:colOff>0</xdr:colOff>
      <xdr:row>38</xdr:row>
      <xdr:rowOff>66675</xdr:rowOff>
    </xdr:from>
    <xdr:ext cx="4562475" cy="2962275"/>
    <xdr:pic>
      <xdr:nvPicPr>
        <xdr:cNvPr id="3" name="image2.png">
          <a:extLst>
            <a:ext uri="{FF2B5EF4-FFF2-40B4-BE49-F238E27FC236}">
              <a16:creationId xmlns:a16="http://schemas.microsoft.com/office/drawing/2014/main" id="{59B4E25E-5403-481D-B444-79D3EDDBD37F}"/>
            </a:ext>
          </a:extLst>
        </xdr:cNvPr>
        <xdr:cNvPicPr preferRelativeResize="0"/>
      </xdr:nvPicPr>
      <xdr:blipFill>
        <a:blip xmlns:r="http://schemas.openxmlformats.org/officeDocument/2006/relationships" r:embed="rId2" cstate="print"/>
        <a:stretch>
          <a:fillRect/>
        </a:stretch>
      </xdr:blipFill>
      <xdr:spPr>
        <a:xfrm>
          <a:off x="0" y="7343775"/>
          <a:ext cx="4562475" cy="2962275"/>
        </a:xfrm>
        <a:prstGeom prst="rect">
          <a:avLst/>
        </a:prstGeom>
        <a:noFill/>
      </xdr:spPr>
    </xdr:pic>
    <xdr:clientData fLocksWithSheet="0"/>
  </xdr:oneCellAnchor>
  <xdr:oneCellAnchor>
    <xdr:from>
      <xdr:col>0</xdr:col>
      <xdr:colOff>0</xdr:colOff>
      <xdr:row>62</xdr:row>
      <xdr:rowOff>0</xdr:rowOff>
    </xdr:from>
    <xdr:ext cx="7534275" cy="4086225"/>
    <xdr:pic>
      <xdr:nvPicPr>
        <xdr:cNvPr id="4" name="image3.png" title="Image">
          <a:extLst>
            <a:ext uri="{FF2B5EF4-FFF2-40B4-BE49-F238E27FC236}">
              <a16:creationId xmlns:a16="http://schemas.microsoft.com/office/drawing/2014/main" id="{C9B4161E-EFB7-4802-9062-4F4F37956099}"/>
            </a:ext>
          </a:extLst>
        </xdr:cNvPr>
        <xdr:cNvPicPr preferRelativeResize="0"/>
      </xdr:nvPicPr>
      <xdr:blipFill>
        <a:blip xmlns:r="http://schemas.openxmlformats.org/officeDocument/2006/relationships" r:embed="rId3" cstate="print"/>
        <a:stretch>
          <a:fillRect/>
        </a:stretch>
      </xdr:blipFill>
      <xdr:spPr>
        <a:xfrm>
          <a:off x="0" y="12357100"/>
          <a:ext cx="7534275" cy="40862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4</xdr:row>
      <xdr:rowOff>114300</xdr:rowOff>
    </xdr:from>
    <xdr:ext cx="11125200" cy="10277475"/>
    <xdr:pic>
      <xdr:nvPicPr>
        <xdr:cNvPr id="2" name="image4.png" title="Image">
          <a:extLst>
            <a:ext uri="{FF2B5EF4-FFF2-40B4-BE49-F238E27FC236}">
              <a16:creationId xmlns:a16="http://schemas.microsoft.com/office/drawing/2014/main" id="{D5C044E3-0D7E-45D3-A607-74B086AEBE2E}"/>
            </a:ext>
          </a:extLst>
        </xdr:cNvPr>
        <xdr:cNvPicPr preferRelativeResize="0"/>
      </xdr:nvPicPr>
      <xdr:blipFill>
        <a:blip xmlns:r="http://schemas.openxmlformats.org/officeDocument/2006/relationships" r:embed="rId1" cstate="print"/>
        <a:stretch>
          <a:fillRect/>
        </a:stretch>
      </xdr:blipFill>
      <xdr:spPr>
        <a:xfrm>
          <a:off x="0" y="869950"/>
          <a:ext cx="11125200" cy="102774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141562</xdr:colOff>
      <xdr:row>21</xdr:row>
      <xdr:rowOff>56659</xdr:rowOff>
    </xdr:to>
    <xdr:pic>
      <xdr:nvPicPr>
        <xdr:cNvPr id="2" name="Picture 1">
          <a:extLst>
            <a:ext uri="{FF2B5EF4-FFF2-40B4-BE49-F238E27FC236}">
              <a16:creationId xmlns:a16="http://schemas.microsoft.com/office/drawing/2014/main" id="{D2173A0D-6F18-4025-9FB9-D4AEE4B31F10}"/>
            </a:ext>
          </a:extLst>
        </xdr:cNvPr>
        <xdr:cNvPicPr>
          <a:picLocks noChangeAspect="1"/>
        </xdr:cNvPicPr>
      </xdr:nvPicPr>
      <xdr:blipFill>
        <a:blip xmlns:r="http://schemas.openxmlformats.org/officeDocument/2006/relationships" r:embed="rId1"/>
        <a:stretch>
          <a:fillRect/>
        </a:stretch>
      </xdr:blipFill>
      <xdr:spPr>
        <a:xfrm>
          <a:off x="0" y="0"/>
          <a:ext cx="10504762" cy="392380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4314ED4-4514-4785-834C-A0ED43B2601A}" name="Table136" displayName="Table136" ref="A2:AH95" totalsRowCount="1" headerRowDxfId="617" dataDxfId="616" tableBorderDxfId="615" headerRowCellStyle="Normal 2" dataCellStyle="Normal 2">
  <autoFilter ref="A2:AH94" xr:uid="{C3040DB9-5D8A-45FD-9A66-4BE017CBFDB1}"/>
  <sortState xmlns:xlrd2="http://schemas.microsoft.com/office/spreadsheetml/2017/richdata2" ref="A3:AH94">
    <sortCondition ref="A3:A94"/>
    <sortCondition ref="B3:B94"/>
  </sortState>
  <tableColumns count="34">
    <tableColumn id="1" xr3:uid="{3A631117-90AF-4A70-B7D9-019C0907974F}" name="ADM1_EN" dataDxfId="614" totalsRowDxfId="613" dataCellStyle="Comma"/>
    <tableColumn id="2" xr3:uid="{AB9BDD81-71F0-4B62-81AC-E1F23569C2F3}" name="ADM2_EN" dataDxfId="612" totalsRowDxfId="611" dataCellStyle="Comma"/>
    <tableColumn id="5" xr3:uid="{6755FD4D-5479-48CE-9606-77AE88B635AC}" name="Population Groups" dataDxfId="610" totalsRowDxfId="609" dataCellStyle="Comma"/>
    <tableColumn id="16" xr3:uid="{A59018D6-882E-4F21-8A6B-169BC7E14024}" name="2020 Population Projection" totalsRowFunction="custom" dataDxfId="608" totalsRowDxfId="607" dataCellStyle="Comma">
      <calculatedColumnFormula>'Baseline_2020 Population Proj'!C2</calculatedColumnFormula>
      <totalsRowFormula>SUM(Table136[2020 Population Projection])</totalsRowFormula>
    </tableColumn>
    <tableColumn id="3" xr3:uid="{F0826061-537D-47EC-8B5D-C53E6F688CBA}" name="IPC Analysis Population Projection" totalsRowFunction="custom" dataDxfId="606" totalsRowDxfId="605" dataCellStyle="Comma">
      <totalsRowFormula>SUM(Table136[IPC Analysis Population Projection])</totalsRowFormula>
    </tableColumn>
    <tableColumn id="9" xr3:uid="{9EEC1453-101D-4CED-A0BD-A71F8EF7AD13}" name="% of population in sites with access to functioning complaints and feedback mechanisms" dataDxfId="604" totalsRowDxfId="603" dataCellStyle="Comma"/>
    <tableColumn id="7" xr3:uid="{A728BADA-F7A6-46D4-B953-1ADA8D27E0A9}" name="% of population in sites with appropriate site management services" dataDxfId="602" totalsRowDxfId="601" dataCellStyle="Comma"/>
    <tableColumn id="8" xr3:uid="{A1B7537C-7D9D-402D-9391-14E20DBC6097}" name="Number of survivors of GBV provided with a comprehensive response " dataDxfId="600" totalsRowDxfId="599" dataCellStyle="Comma"/>
    <tableColumn id="11" xr3:uid="{36D8EE30-9A38-4428-9EE6-33CE14804729}" name="Number of children reached with psychosocial support services" dataDxfId="598" totalsRowDxfId="597" dataCellStyle="Comma"/>
    <tableColumn id="10" xr3:uid="{E5F41508-34CF-41E6-8AFE-ACD992E9623E}" name="Number of children of school going age who are out of school (age 3-17)" dataDxfId="596" totalsRowDxfId="595" dataCellStyle="Comma"/>
    <tableColumn id="20" xr3:uid="{118BC805-C80A-4D60-A8DA-AD0C595A4FC1}" name="% children not attending school by sex and school-level (as a result of the crisis)" dataDxfId="594" totalsRowDxfId="593" dataCellStyle="Comma"/>
    <tableColumn id="17" xr3:uid="{B3E796B4-3617-4281-87F2-D2AA28F64DD9}" name="% children in schools without access to an improved drinking water source" dataDxfId="592" totalsRowDxfId="591" dataCellStyle="Comma"/>
    <tableColumn id="12" xr3:uid="{AF22241F-B68F-4530-A8DA-F5EE080ADB77}" name="% of children not receiving school feeding school by sex and school-level (as a result of the crisis)" dataDxfId="590" totalsRowDxfId="589" dataCellStyle="Comma"/>
    <tableColumn id="15" xr3:uid="{1AD3C372-8C95-48E7-BFD1-4B33949B95BC}" name="IPC 3" dataDxfId="588" totalsRowDxfId="587" dataCellStyle="Comma"/>
    <tableColumn id="14" xr3:uid="{FF2653F3-D22B-44E0-8E46-84F0E4DF80F7}" name="IPC 4" dataDxfId="586" totalsRowDxfId="585" dataCellStyle="Comma"/>
    <tableColumn id="13" xr3:uid="{3F31D972-1ADD-4486-9FA5-3C1163828BF6}" name="IPC 3 and 4" dataDxfId="584" totalsRowDxfId="583" dataCellStyle="Comma"/>
    <tableColumn id="26" xr3:uid="{FBAFDB62-107B-4F55-8F40-DDC8989093D3}" name="% of girls / boys / women at risk of GBV (sexual violence and forced marriage / reproduction)" dataDxfId="582" totalsRowDxfId="581" dataCellStyle="Comma"/>
    <tableColumn id="24" xr3:uid="{96DC3BC1-E6E3-4469-AC0F-6ADB1254A3B0}" name="% of girls / women without access to GBV-related services." dataDxfId="580" totalsRowDxfId="579" dataCellStyle="Comma"/>
    <tableColumn id="35" xr3:uid="{56552644-7CD1-4052-925F-B23D29DF525D}" name="Number of skilled birth attendant personnel (doctors, nurses, certified midwives) per 10,000 people" dataDxfId="578" totalsRowDxfId="577" dataCellStyle="Comma"/>
    <tableColumn id="6" xr3:uid="{EB48AD72-8C6C-408C-B4E4-2A4C1C80161D}" name="Gap" dataDxfId="576" totalsRowDxfId="575" dataCellStyle="Comma"/>
    <tableColumn id="34" xr3:uid="{A7FD9C29-B617-48F1-96BC-36FC7516544F}" name="Number of cases or incidence rates for selected diseases relevant to the local context (diarrhoea)" dataDxfId="574" totalsRowDxfId="573" dataCellStyle="Comma"/>
    <tableColumn id="27" xr3:uid="{4963944D-D355-4D0C-86B0-240B83AF1F7D}" name="Coverage of DTC3 (DPT3 / PENTA3) in &lt; 1 year old, by administrative unit" dataDxfId="572" totalsRowDxfId="571" dataCellStyle="Comma"/>
    <tableColumn id="28" xr3:uid="{115FEA11-2FC6-4C4C-902C-7774640F707D}" name="SAM" dataDxfId="570" totalsRowDxfId="569" dataCellStyle="Comma"/>
    <tableColumn id="4" xr3:uid="{7144F38C-6C1D-4355-8C49-00796678F897}" name="MAM" dataDxfId="568" totalsRowDxfId="567" dataCellStyle="Comma"/>
    <tableColumn id="29" xr3:uid="{E7187B2C-3F92-4F60-8E01-BD3BF2172872}" name="Minimum Acceptable Diet in children 6 to 23 months and PLW" dataDxfId="566" totalsRowDxfId="565" dataCellStyle="Comma"/>
    <tableColumn id="18" xr3:uid="{7C580DEE-900C-4459-9B02-C5E90406A195}" name="% or HHs currently living in unsustainable shelter situations" dataDxfId="564" totalsRowDxfId="563" dataCellStyle="Comma"/>
    <tableColumn id="19" xr3:uid="{88A11EA1-2C78-4332-941E-AD3E2EF6FF47}" name="% of HH with no access to adequate housing space " dataDxfId="562" totalsRowDxfId="561" dataCellStyle="Comma"/>
    <tableColumn id="25" xr3:uid="{75FB1EC8-81A8-4F13-81CF-4A0B22E661A3}" name="% of HHs facing environmental sanitation problems (living in areas where solid waste, waterwaste, open defecation was visible around their accommodation - 30 meters or less)" dataDxfId="560" totalsRowDxfId="559" dataCellStyle="Comma"/>
    <tableColumn id="30" xr3:uid="{10CBE00A-6B24-48C1-B285-6E96B867E144}" name="% of HHs not having access to water sources of sufficient quality and availability" dataDxfId="558" totalsRowDxfId="557" dataCellStyle="Comma"/>
    <tableColumn id="42" xr3:uid="{7F2E0B7F-E8D3-47A8-AF17-C252FB09E6D0}" name="% of HH members without valid civil documentation and unable to obtain them" dataDxfId="556" totalsRowDxfId="555" dataCellStyle="Comma"/>
    <tableColumn id="41" xr3:uid="{88514186-4E4A-411C-9A8D-6C5888CE4390}" name="% of population in specific groups excluded or with limited access to services (i.e. UASC, persons with disabilities, older persons, minority groups, etc.)" dataDxfId="554" totalsRowDxfId="553" dataCellStyle="Comma"/>
    <tableColumn id="40" xr3:uid="{9190E7FD-1D1E-4AB2-858A-2F3EA797A2DE}" name="% of population in sites/communities reporting protection incidents in the last 3 months" dataDxfId="552" totalsRowDxfId="551" dataCellStyle="Comma"/>
    <tableColumn id="43" xr3:uid="{7BC4FC44-3AEE-4B55-9621-FF59045D39ED}" name="Column1" dataDxfId="550" totalsRowDxfId="549" dataCellStyle="Comma"/>
    <tableColumn id="36" xr3:uid="{A53F0524-1108-4E59-9A9C-93466EF02CC9}" name="Overall Intersectorial Final PiN" totalsRowFunction="custom" dataDxfId="548" totalsRowDxfId="547" dataCellStyle="Comma">
      <calculatedColumnFormula>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calculatedColumnFormula>
      <totalsRowFormula>SUM(Table136[Overall Intersectorial Final PiN])</totalsRowFormula>
    </tableColumn>
  </tableColumns>
  <tableStyleInfo name="TableStyleLight13"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F91AA37-5925-4DEA-9DCC-30952BB633BB}" name="Table813" displayName="Table813" ref="AQ2:AT95" totalsRowShown="0" headerRowDxfId="351" dataDxfId="349" headerRowBorderDxfId="350" headerRowCellStyle="Normal 2" dataCellStyle="Normal 2">
  <autoFilter ref="AQ2:AT95" xr:uid="{251D91A1-1FCA-47F1-8481-634DACD83E7A}"/>
  <tableColumns count="4">
    <tableColumn id="1" xr3:uid="{7F9032C6-0E07-425A-BD22-4A6AC4E5E2F9}" name="Residents" dataDxfId="348" dataCellStyle="Normal 2">
      <calculatedColumnFormula>Table136[[#This Row],[Overall Intersectorial Final PiN]]</calculatedColumnFormula>
    </tableColumn>
    <tableColumn id="2" xr3:uid="{885535F1-C0A2-48A4-A83B-D1101D2A3818}" name="IDPs" dataDxfId="347" dataCellStyle="Normal 2">
      <calculatedColumnFormula>MAX(#REF!)</calculatedColumnFormula>
    </tableColumn>
    <tableColumn id="3" xr3:uid="{16F043C0-06EB-4FB2-A6F4-5ECA4E841ACE}" name="Returnee Migrants" dataDxfId="346" dataCellStyle="Comma">
      <calculatedColumnFormula>'Baseline_2020 Population Proj'!O2</calculatedColumnFormula>
    </tableColumn>
    <tableColumn id="4" xr3:uid="{7521CA11-6BB5-4FED-867A-26413E38FC1C}" name="Refugees" dataDxfId="345" dataCellStyle="Normal 2"/>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C1F798D-F9DB-46EC-BE58-6A64873FF66C}" name="Table914" displayName="Table914" ref="AV2:AV95" totalsRowShown="0" headerRowDxfId="344" dataDxfId="343" headerRowCellStyle="Normal 2" dataCellStyle="Normal 2">
  <autoFilter ref="AV2:AV95" xr:uid="{A5522D62-8E96-4AD0-BFF7-3A1F84B71D6F}"/>
  <tableColumns count="1">
    <tableColumn id="1" xr3:uid="{6F903A3D-0B92-4ED3-A13E-EB343B75FCED}" name="2020 Inter-cluster Response " dataDxfId="342" dataCellStyle="Normal 2">
      <calculatedColumnFormula>Table9[[#This Row],[2020 Inter-cluster Response ]]</calculatedColumnFormula>
    </tableColumn>
  </tableColumns>
  <tableStyleInfo name="TableStyleMedium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50AB027-6F40-40D9-A84A-595DD47E9814}" name="Table1345" displayName="Table1345" ref="A2:AF95" totalsRowCount="1" headerRowDxfId="341" dataDxfId="340" tableBorderDxfId="339" headerRowCellStyle="Normal 2" dataCellStyle="Normal 2">
  <autoFilter ref="A2:AF94" xr:uid="{9CE2DFA8-4F97-489B-8BE7-28DADC22DFE5}"/>
  <sortState xmlns:xlrd2="http://schemas.microsoft.com/office/spreadsheetml/2017/richdata2" ref="A3:AD94">
    <sortCondition ref="A3:A94"/>
    <sortCondition ref="B3:B94"/>
  </sortState>
  <tableColumns count="32">
    <tableColumn id="1" xr3:uid="{59E3E6F6-C46A-40FD-BA7B-5D5D78777DF0}" name="ADM1_EN" dataDxfId="338" totalsRowDxfId="337" dataCellStyle="Normal 2"/>
    <tableColumn id="2" xr3:uid="{C551D6E0-350D-4D63-B455-98D6AFEDCCB4}" name="ADM2_EN" dataDxfId="336" totalsRowDxfId="335" dataCellStyle="Normal 2"/>
    <tableColumn id="30" xr3:uid="{F015B664-808D-4F49-880A-541DF6609D68}" name="Population Groups" dataDxfId="334" totalsRowDxfId="333" dataCellStyle="Comma"/>
    <tableColumn id="3" xr3:uid="{9DBA0CE8-EAE7-45F3-B024-29C4AA43FAB4}" name="FSC Severity" dataDxfId="332" totalsRowDxfId="331" dataCellStyle="Percent"/>
    <tableColumn id="4" xr3:uid="{AC2976C2-6DF1-4877-B28E-2A6E4B1BDCB2}" name="FSC PiN" totalsRowFunction="custom" dataDxfId="330" totalsRowDxfId="329" dataCellStyle="Comma">
      <totalsRowFormula>SUM(Table1345[FSC PiN])</totalsRowFormula>
    </tableColumn>
    <tableColumn id="27" xr3:uid="{160A8C40-A39D-4FF3-9C56-718215AC4933}" name="FSC Target" totalsRowFunction="custom" dataDxfId="328" totalsRowDxfId="327" dataCellStyle="Percent">
      <totalsRowFormula>SUM(Table1345[FSC Target])</totalsRowFormula>
    </tableColumn>
    <tableColumn id="5" xr3:uid="{30AC2DD6-2442-4D2A-8894-144EFE23FC4E}" name="Education Severity" dataDxfId="326" totalsRowDxfId="325" dataCellStyle="Percent"/>
    <tableColumn id="7" xr3:uid="{3892E0F6-72B8-4B24-A095-A3A8B22AC63D}" name="Education PiN" totalsRowFunction="custom" dataDxfId="324" totalsRowDxfId="323" dataCellStyle="Comma">
      <totalsRowFormula>SUM(Table1345[Education PiN])</totalsRowFormula>
    </tableColumn>
    <tableColumn id="21" xr3:uid="{84BF963D-90C1-4C62-9169-B20F5152E8DD}" name="Education Target" totalsRowFunction="custom" dataDxfId="322" totalsRowDxfId="321" dataCellStyle="Comma">
      <totalsRowFormula>SUM(Table1345[Education Target])</totalsRowFormula>
    </tableColumn>
    <tableColumn id="8" xr3:uid="{79B234F8-2A4F-46D6-B71F-3C89160AF10B}" name="Nutrition Severity" dataDxfId="320" totalsRowDxfId="319" dataCellStyle="Percent"/>
    <tableColumn id="9" xr3:uid="{62986F09-240F-4529-88A9-B0990799E9E0}" name="Nutrition PiN" totalsRowFunction="custom" dataDxfId="318" totalsRowDxfId="317" dataCellStyle="Comma">
      <totalsRowFormula>SUM(Table1345[Nutrition PiN])</totalsRowFormula>
    </tableColumn>
    <tableColumn id="22" xr3:uid="{3F0DBA54-CB43-4F52-92A6-097131935756}" name="Nutrition Target" totalsRowFunction="custom" dataDxfId="316" totalsRowDxfId="315" dataCellStyle="Comma">
      <totalsRowFormula>SUM(Table1345[Nutrition Target])</totalsRowFormula>
    </tableColumn>
    <tableColumn id="10" xr3:uid="{A0F8C0B5-72CC-4A76-94DC-F8510F1CFB2F}" name="Shelter/NFIs Severity" dataDxfId="314" totalsRowDxfId="313" dataCellStyle="Percent"/>
    <tableColumn id="13" xr3:uid="{074DFE5B-7603-40EA-84D5-02FAF63DA2B4}" name="Shelter/NFIs PiN" totalsRowFunction="custom" dataDxfId="312" totalsRowDxfId="311" dataCellStyle="Comma">
      <totalsRowFormula>SUM(Table1345[Shelter/NFIs PiN])</totalsRowFormula>
    </tableColumn>
    <tableColumn id="24" xr3:uid="{1AC4C27B-BE17-4E2D-BA32-5F6D4BD50B00}" name="Shelter/NFIs Target" totalsRowFunction="custom" dataDxfId="310" totalsRowDxfId="309" dataCellStyle="Comma">
      <totalsRowFormula>SUM(Table1345[Shelter/NFIs Target])</totalsRowFormula>
    </tableColumn>
    <tableColumn id="6" xr3:uid="{C781D2C9-AF19-441F-B384-2EAAB571F773}" name="Protection/GBV Severity" dataDxfId="308" totalsRowDxfId="307" dataCellStyle="Percent"/>
    <tableColumn id="11" xr3:uid="{BEAFD257-82AA-4B78-9615-87DF9754038A}" name="Protection/GBV PiN" totalsRowFunction="custom" dataDxfId="306" totalsRowDxfId="305" dataCellStyle="Comma">
      <totalsRowFormula>SUM(Table1345[Protection/GBV PiN])</totalsRowFormula>
    </tableColumn>
    <tableColumn id="28" xr3:uid="{8BCCC2A8-6903-4143-BFB8-C261E5387752}" name="Protection/GBV Target" totalsRowFunction="custom" dataDxfId="304" totalsRowDxfId="303" dataCellStyle="Comma">
      <totalsRowFormula>SUM(Table1345[Protection/GBV Target])</totalsRowFormula>
    </tableColumn>
    <tableColumn id="12" xr3:uid="{4E7EF63B-1321-4DFC-B603-9D4848E48020}" name="CP_Severity" dataDxfId="302" totalsRowDxfId="301" dataCellStyle="Percent"/>
    <tableColumn id="14" xr3:uid="{081FECBC-A522-4922-A4FC-78B90C0B031F}" name="CP_PiN" totalsRowFunction="custom" dataDxfId="300" totalsRowDxfId="299" dataCellStyle="Comma">
      <totalsRowFormula>SUM(Table1345[CP_PiN])</totalsRowFormula>
    </tableColumn>
    <tableColumn id="26" xr3:uid="{9DCAE11C-B403-403B-AC08-B5DEFE0D822A}" name="CP_Target" totalsRowFunction="custom" dataDxfId="298" totalsRowDxfId="297" dataCellStyle="Comma">
      <totalsRowFormula>SUM(Table1345[CP_Target])</totalsRowFormula>
    </tableColumn>
    <tableColumn id="15" xr3:uid="{8D4482CD-0502-4535-81B2-0B55D1BEC6B0}" name="CCCM_Severity" dataDxfId="296" totalsRowDxfId="295" dataCellStyle="Percent"/>
    <tableColumn id="16" xr3:uid="{70447037-6393-4BB7-AE69-22704F37D88E}" name="CCCM_PiN" totalsRowFunction="custom" dataDxfId="294" totalsRowDxfId="293" dataCellStyle="Percent">
      <totalsRowFormula>SUM(Table1345[CCCM_PiN])</totalsRowFormula>
    </tableColumn>
    <tableColumn id="23" xr3:uid="{6306E00B-B6F7-497C-B41D-C2145B5D95A4}" name="CCCM_Target" totalsRowFunction="custom" dataDxfId="292" totalsRowDxfId="291" dataCellStyle="Percent">
      <totalsRowFormula>SUM(Table1345[CCCM_Target])</totalsRowFormula>
    </tableColumn>
    <tableColumn id="17" xr3:uid="{0D6F7A52-A9A2-4E39-8CBD-E8759E96EE93}" name="WASH_Severity" dataDxfId="290" totalsRowDxfId="289" dataCellStyle="Percent"/>
    <tableColumn id="18" xr3:uid="{D21E2398-14A5-4191-9499-9321D4495269}" name="WASH_PiN" totalsRowFunction="custom" dataDxfId="288" totalsRowDxfId="287" dataCellStyle="Comma">
      <totalsRowFormula>SUM(Table1345[WASH_PiN])</totalsRowFormula>
    </tableColumn>
    <tableColumn id="25" xr3:uid="{80F92B2D-2980-4CE1-8AFA-F8D39F4FC542}" name="WASH Targets" totalsRowFunction="custom" dataDxfId="286" totalsRowDxfId="285" dataCellStyle="Comma">
      <totalsRowFormula>SUM(Table1345[WASH Targets])</totalsRowFormula>
    </tableColumn>
    <tableColumn id="19" xr3:uid="{C1102C3B-B241-49B4-9CC8-781E6F58B48A}" name="Health Severity" dataDxfId="284" totalsRowDxfId="283" dataCellStyle="Percent"/>
    <tableColumn id="20" xr3:uid="{C59D3759-41BE-4761-B91B-9612C1807C95}" name="Health PiN" totalsRowFunction="custom" dataDxfId="282" totalsRowDxfId="281" dataCellStyle="Comma">
      <totalsRowFormula>SUM(Table1345[Health PiN])</totalsRowFormula>
    </tableColumn>
    <tableColumn id="29" xr3:uid="{363561A6-BF50-4641-9B25-2FB96A4757D0}" name="Health Target" totalsRowFunction="custom" dataDxfId="280" totalsRowDxfId="279" dataCellStyle="Comma">
      <totalsRowFormula>SUM(Table1345[Health Target])</totalsRowFormula>
    </tableColumn>
    <tableColumn id="31" xr3:uid="{0D3A37DF-851D-4447-89A4-BF3A9D54CEF8}" name="Overall Protection PiN" totalsRowFunction="custom" dataDxfId="278" totalsRowDxfId="277" dataCellStyle="Comma">
      <calculatedColumnFormula>MAX(Table1345[[#This Row],[Protection/GBV PiN]],Table1345[[#This Row],[CP_PiN]])</calculatedColumnFormula>
      <totalsRowFormula>SUM(Table1345[Overall Protection PiN])</totalsRowFormula>
    </tableColumn>
    <tableColumn id="32" xr3:uid="{7012613B-9AFC-40DC-8A81-C35F62DB94B6}" name="Target" totalsRowFunction="custom" dataDxfId="276" totalsRowDxfId="275" dataCellStyle="Comma">
      <calculatedColumnFormula>MAX(Table1345[[#This Row],[Protection/GBV Target]],Table1345[[#This Row],[CP_Target]])</calculatedColumnFormula>
      <totalsRowFormula>SUM(Table1345[Target])</totalsRowFormula>
    </tableColumn>
  </tableColumns>
  <tableStyleInfo name="TableStyleLight13"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2917451-0337-44DC-A433-2BC682A6491A}" name="Table16" displayName="Table16" ref="B1:F12" totalsRowShown="0" headerRowDxfId="274" dataDxfId="273" headerRowCellStyle="Comma" dataCellStyle="Comma">
  <autoFilter ref="B1:F12" xr:uid="{0E9ABCD5-462F-4185-BDAC-8C7D704FBC06}"/>
  <tableColumns count="5">
    <tableColumn id="1" xr3:uid="{669207C3-9E5F-4656-A4F0-39AA9CAEE58D}" name="CLUSTERS" dataDxfId="272" dataCellStyle="Comma"/>
    <tableColumn id="2" xr3:uid="{601E0B69-BC78-4F0D-8453-1F4BF9495815}" name="PiN" dataDxfId="271" dataCellStyle="Comma"/>
    <tableColumn id="3" xr3:uid="{F02D6432-AA23-41F2-953A-7B861B6B2242}" name="Targets" dataDxfId="270" dataCellStyle="Comma"/>
    <tableColumn id="4" xr3:uid="{F48BCDF4-C9FD-4810-B039-394705471EA1}" name="Inter-cluster PIN" dataDxfId="269" dataCellStyle="Comma"/>
    <tableColumn id="5" xr3:uid="{64DC6E86-D9E8-417C-85E6-5240AF373BA6}" name="Inter-cluster Target" dataDxfId="268" dataCellStyle="Comma">
      <calculatedColumnFormula>SUM(Table13611[Overall Intersectorial Final Target])</calculatedColumnFormula>
    </tableColumn>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976620ED-34AB-49DA-9A34-01A4305B7414}" name="Table1519" displayName="Table1519" ref="H1:I13" totalsRowShown="0" headerRowDxfId="267" dataDxfId="265" headerRowBorderDxfId="266" headerRowCellStyle="Comma" dataCellStyle="Comma">
  <autoFilter ref="H1:I13" xr:uid="{D56F2A23-A08E-4221-BD5E-723D86ABB679}"/>
  <sortState xmlns:xlrd2="http://schemas.microsoft.com/office/spreadsheetml/2017/richdata2" ref="H2:I13">
    <sortCondition descending="1" ref="I2:I13"/>
  </sortState>
  <tableColumns count="2">
    <tableColumn id="1" xr3:uid="{DA32DA70-B636-47A2-AA1C-9B0536BEB675}" name="Cluster" dataDxfId="264" dataCellStyle="Comma"/>
    <tableColumn id="2" xr3:uid="{E9FA25DF-B4BD-4C51-B122-A1D288210CF1}" name="Amount (US$)" dataDxfId="263" dataCellStyle="Comma"/>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F0308F7-27A4-49F0-83B3-9D8A27090316}" name="Table11" displayName="Table11" ref="A1:O71" totalsRowShown="0" headerRowDxfId="262" dataDxfId="261" headerRowCellStyle="Comma" dataCellStyle="Comma">
  <autoFilter ref="A1:O71" xr:uid="{002FD02E-C8DA-41EA-8BBA-91EBEF488C5D}"/>
  <tableColumns count="15">
    <tableColumn id="1" xr3:uid="{23B568C3-B56D-4F39-BFD1-19528A1D134E}" name="Province" dataDxfId="260" dataCellStyle="Comma"/>
    <tableColumn id="2" xr3:uid="{A13B7263-0FF7-4551-899E-3BB71EE68BC2}" name="District" dataDxfId="259" dataCellStyle="Comma"/>
    <tableColumn id="3" xr3:uid="{16254BDD-6ADD-4DF4-97A8-07491732473B}" name="Feb" dataDxfId="258" dataCellStyle="Comma"/>
    <tableColumn id="4" xr3:uid="{BB89FC65-B86F-45E2-92F4-9DB482BA0746}" name="Mar" dataDxfId="257" dataCellStyle="Comma"/>
    <tableColumn id="5" xr3:uid="{5FCC0170-9468-4DAF-815C-FF71D737AEEC}" name="Apr" dataDxfId="256" dataCellStyle="Comma"/>
    <tableColumn id="6" xr3:uid="{F37BD2D6-ECD1-4ABA-B6EB-7625A5A03700}" name="May" dataDxfId="255" dataCellStyle="Comma"/>
    <tableColumn id="7" xr3:uid="{405BDFCB-8CB8-433D-9249-9CBBCC42B1E4}" name="Jun" dataDxfId="254" dataCellStyle="Comma"/>
    <tableColumn id="8" xr3:uid="{DD150F2A-3432-4C5B-A111-20687DB5A550}" name="Jul" dataDxfId="253" dataCellStyle="Comma"/>
    <tableColumn id="9" xr3:uid="{41289558-1868-4285-801E-4A3D4FEDD5CE}" name="Aug" dataDxfId="252" dataCellStyle="Comma"/>
    <tableColumn id="10" xr3:uid="{4F6E00A8-BA83-4E60-A78E-0FAB08441C7C}" name="Sept" dataDxfId="251" dataCellStyle="Comma"/>
    <tableColumn id="11" xr3:uid="{2C7DBE87-570C-464F-A5E4-730D5A231FE1}" name="Oct" dataDxfId="250" dataCellStyle="Comma"/>
    <tableColumn id="12" xr3:uid="{4464E881-FF93-44BF-8941-65343A68CA87}" name="Nov" dataDxfId="249" dataCellStyle="Comma"/>
    <tableColumn id="13" xr3:uid="{78B8056D-ACCF-4EC0-948A-FD160FDFAEEB}" name="Dec" dataDxfId="248" dataCellStyle="Comma"/>
    <tableColumn id="14" xr3:uid="{9AD2009C-6528-42F9-891C-C80353EE7695}" name="Projection" dataDxfId="247" dataCellStyle="Comma">
      <calculatedColumnFormula>MAX(Table11[[#This Row],[Feb]:[Dec]])</calculatedColumnFormula>
    </tableColumn>
    <tableColumn id="15" xr3:uid="{5F1BD873-3C91-466A-9F15-45A4BE858C46}" name="Overaall Reached" dataDxfId="246" dataCellStyle="Comma"/>
  </tableColumns>
  <tableStyleInfo name="TableStyleMedium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3F280CE-C9A0-4CAF-AB7E-B55F08875A35}" name="Table14" displayName="Table14" ref="Q1:S71" totalsRowShown="0" dataDxfId="245" dataCellStyle="Comma">
  <autoFilter ref="Q1:S71" xr:uid="{4AEEDCD6-9DFF-4E28-846E-321D6F90E81F}"/>
  <tableColumns count="3">
    <tableColumn id="1" xr3:uid="{47AC70BB-80DD-48C9-A5A9-126F72F9498A}" name="Male" dataDxfId="244" dataCellStyle="Comma">
      <calculatedColumnFormula>Table11[[#This Row],[Overaall Reached]]*0.48</calculatedColumnFormula>
    </tableColumn>
    <tableColumn id="2" xr3:uid="{A1BFA6FF-BFE4-43BC-8930-86570A3692F2}" name="Female" dataDxfId="243" dataCellStyle="Comma">
      <calculatedColumnFormula>Table11[[#This Row],[Overaall Reached]]-Table14[[#This Row],[Male]]</calculatedColumnFormula>
    </tableColumn>
    <tableColumn id="3" xr3:uid="{4B82681A-0E09-4979-8AE6-108F2A7F3F5B}" name="PWD" dataDxfId="242" dataCellStyle="Comma">
      <calculatedColumnFormula>Table11[[#This Row],[Overaall Reached]]*0.07</calculatedColumnFormula>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67AF5C8-0E6C-4D99-8BD6-12A19B810061}" name="Table17" displayName="Table17" ref="A1:J94" totalsRowShown="0" headerRowDxfId="241" dataDxfId="240" tableBorderDxfId="239" headerRowCellStyle="Comma" dataCellStyle="Comma">
  <autoFilter ref="A1:J94" xr:uid="{2CE804CC-55EA-4485-87D5-0C548523C1BB}"/>
  <tableColumns count="10">
    <tableColumn id="1" xr3:uid="{F5E0AE80-46B7-454E-99C5-5C20AB51F04D}" name="ADM1_EN" dataDxfId="238" dataCellStyle="Comma"/>
    <tableColumn id="2" xr3:uid="{C8EA7303-57DA-4096-8071-9CD504EBE974}" name="ADM2_EN" dataDxfId="237" dataCellStyle="Comma"/>
    <tableColumn id="3" xr3:uid="{4F44441E-D094-41D4-8741-43AA5FEBC130}" name="Population Groups" dataDxfId="236" dataCellStyle="Comma"/>
    <tableColumn id="4" xr3:uid="{BA566FCC-29A8-4925-AC0C-AC83D95165A7}" name="2020 Population Projection" dataDxfId="235" dataCellStyle="Comma"/>
    <tableColumn id="5" xr3:uid="{A06F80E0-80B7-4D22-A5F1-6C417FD22B8C}" name="Overall Intersectorial Final PiN" dataDxfId="234" dataCellStyle="Comma"/>
    <tableColumn id="6" xr3:uid="{D9164040-28E8-4D7F-B828-6D1EF7085A4E}" name="Residents" dataDxfId="233" dataCellStyle="Comma"/>
    <tableColumn id="7" xr3:uid="{B7B6152C-5695-45E0-A668-98FC10750274}" name="IDPs" dataDxfId="232" dataCellStyle="Comma"/>
    <tableColumn id="8" xr3:uid="{8D9C3E1F-D086-4810-9A73-7A53D6F9B3C5}" name="Returnee Migrants" dataDxfId="231" dataCellStyle="Comma"/>
    <tableColumn id="9" xr3:uid="{D464AF4F-C65E-47ED-AA42-394032D54F7F}" name="Refugees" dataDxfId="230" dataCellStyle="Comma"/>
    <tableColumn id="10" xr3:uid="{5AB47F23-D602-4654-8142-7E3EC01778D9}" name="Critical Indicators (Final Severity scores" dataDxfId="229" dataCellStyle="Comma"/>
  </tableColumns>
  <tableStyleInfo name="TableStyleMedium9"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DE49309C-712A-4CB7-9A1D-8F0115F72B7D}" name="Table19" displayName="Table19" ref="AD1:AJ12" totalsRowCount="1" headerRowDxfId="228">
  <autoFilter ref="AD1:AJ11" xr:uid="{6BCCE1EF-60C1-40CE-81AA-4AED2A5F7004}"/>
  <tableColumns count="7">
    <tableColumn id="1" xr3:uid="{2E53E324-3F74-4A3F-B50C-B427975D4834}" name="ADM1_EN"/>
    <tableColumn id="2" xr3:uid="{EBF641DA-6C5E-4C37-B139-1AC128C7415E}" name="2020 Population Projection" dataDxfId="227" totalsRowDxfId="226" dataCellStyle="Comma" totalsRowCellStyle="Comma"/>
    <tableColumn id="3" xr3:uid="{AA5FED50-EE72-4431-B42C-1D37A5728AA6}" name="Overall Intersectorial Final PiN" totalsRowFunction="custom" dataDxfId="225" totalsRowDxfId="224" dataCellStyle="Comma" totalsRowCellStyle="Comma">
      <totalsRowFormula>SUM(Table19[Overall Intersectorial Final PiN])</totalsRowFormula>
    </tableColumn>
    <tableColumn id="4" xr3:uid="{08A8D4C2-8336-4B4F-982B-4BCB54B72B56}" name="Residents" totalsRowFunction="custom" dataDxfId="223" totalsRowDxfId="222" dataCellStyle="Comma" totalsRowCellStyle="Comma">
      <totalsRowFormula>SUM(Table19[Residents])</totalsRowFormula>
    </tableColumn>
    <tableColumn id="5" xr3:uid="{DFC06EB6-ECAB-4D8E-AC86-3D78B24D1C22}" name="IDPs" totalsRowFunction="custom" dataDxfId="221" totalsRowDxfId="220" dataCellStyle="Comma" totalsRowCellStyle="Comma">
      <totalsRowFormula>SUM(Table19[IDPs])</totalsRowFormula>
    </tableColumn>
    <tableColumn id="6" xr3:uid="{04AF60C0-AC2A-423D-9623-7C05642C9044}" name="Returnee Migrants" totalsRowFunction="custom" dataDxfId="219" totalsRowDxfId="218" dataCellStyle="Comma" totalsRowCellStyle="Comma">
      <totalsRowFormula>SUM(Table19[Returnee Migrants])</totalsRowFormula>
    </tableColumn>
    <tableColumn id="7" xr3:uid="{8B35D6E0-5FAB-4E16-AB2A-076683773A92}" name="Refugees" totalsRowFunction="custom" dataDxfId="217" totalsRowDxfId="216" dataCellStyle="Comma" totalsRowCellStyle="Comma">
      <totalsRowFormula>SUM(Table19[Refugees])</totalsRowFormula>
    </tableColumn>
  </tableColumns>
  <tableStyleInfo name="TableStyleMedium9"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D7A30524-F13F-48DA-BEBA-DBCCC8DE873F}" name="Table20" displayName="Table20" ref="L1:P93" totalsRowShown="0" headerRowDxfId="215">
  <autoFilter ref="L1:P93" xr:uid="{7B6C7181-A6D3-4E4F-A999-E988D41EB2DF}"/>
  <tableColumns count="5">
    <tableColumn id="1" xr3:uid="{106C8196-2309-4F21-97EC-E0149774D2F9}" name="Minimal (1)" dataDxfId="214" dataCellStyle="Comma"/>
    <tableColumn id="2" xr3:uid="{BAB40A3B-7D57-4A2E-BC5C-2F6257218FB4}" name="Stress (2)" dataDxfId="213" dataCellStyle="Comma"/>
    <tableColumn id="3" xr3:uid="{5FBC1820-584C-49ED-87BD-83615936D52E}" name="Severe (3)" dataDxfId="212" dataCellStyle="Comma"/>
    <tableColumn id="4" xr3:uid="{529ED23E-F600-4AD5-8D41-5A3BE055F1D9}" name="Extreme (4)" dataDxfId="211" dataCellStyle="Comma"/>
    <tableColumn id="5" xr3:uid="{92A36ED4-FD0F-454A-A172-1FD56F47DCFA}" name="Catastrophic (5)" dataDxfId="210" dataCellStyle="Comma"/>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823048D-EF4F-4806-9FD1-2F86CD7F2B37}" name="Table3" displayName="Table3" ref="AJ2:AR95" totalsRowShown="0" headerRowDxfId="546" dataDxfId="545" headerRowCellStyle="Normal 2" dataCellStyle="Comma">
  <autoFilter ref="AJ2:AR95" xr:uid="{AADBD0AE-6CEE-4EF2-A9AE-673A611A88BC}"/>
  <tableColumns count="9">
    <tableColumn id="1" xr3:uid="{0E694D65-260F-4245-9521-1DA4A3F38621}" name="Food Security" dataDxfId="544" dataCellStyle="Comma">
      <calculatedColumnFormula>Table1345[[#This Row],[FSC Severity]]</calculatedColumnFormula>
    </tableColumn>
    <tableColumn id="2" xr3:uid="{4DE9559A-9EEA-41E0-A1D1-BC704E6E1B40}" name="Education" dataDxfId="543" dataCellStyle="Comma">
      <calculatedColumnFormula>Table1345[[#This Row],[Education PiN]]</calculatedColumnFormula>
    </tableColumn>
    <tableColumn id="3" xr3:uid="{2D800056-27A1-4E09-A0B9-5C1F3036F5BE}" name="Nutrition" dataDxfId="542" dataCellStyle="Comma">
      <calculatedColumnFormula>Table1345[[#This Row],[Nutrition PiN]]</calculatedColumnFormula>
    </tableColumn>
    <tableColumn id="4" xr3:uid="{6DE79582-54A9-47BC-A8C6-3510037CC61A}" name="WASH" dataDxfId="541" dataCellStyle="Comma">
      <calculatedColumnFormula>Table1345[[#This Row],[WASH_PiN]]</calculatedColumnFormula>
    </tableColumn>
    <tableColumn id="5" xr3:uid="{9BE2A7A5-AFFC-4E43-815F-C6ED8AADD120}" name="Health" dataDxfId="540" dataCellStyle="Comma">
      <calculatedColumnFormula>Table1345[[#This Row],[Health PiN]]</calculatedColumnFormula>
    </tableColumn>
    <tableColumn id="6" xr3:uid="{DD2DF11F-7054-4197-BF17-24578420F313}" name="GBV - Protection" dataDxfId="539" dataCellStyle="Comma">
      <calculatedColumnFormula>Table1345[[#This Row],[Protection/GBV PiN]]</calculatedColumnFormula>
    </tableColumn>
    <tableColumn id="7" xr3:uid="{444628AC-A427-4401-90EA-9A9329BC651D}" name="Child Protection" dataDxfId="538" dataCellStyle="Comma">
      <calculatedColumnFormula>Table1345[[#This Row],[CP_PiN]]</calculatedColumnFormula>
    </tableColumn>
    <tableColumn id="8" xr3:uid="{9B0750E4-6EF6-4911-B561-2BC534C16213}" name="Shelter/NFIs" dataDxfId="537" dataCellStyle="Comma">
      <calculatedColumnFormula>Table1345[[#This Row],[Shelter/NFIs PiN]]</calculatedColumnFormula>
    </tableColumn>
    <tableColumn id="9" xr3:uid="{856470E8-7CA4-46A0-9E73-19E5242BDEBA}" name="CCCM" dataDxfId="536" dataCellStyle="Comma">
      <calculatedColumnFormula>Table1345[[#This Row],[CCCM_PiN]]</calculatedColumnFormula>
    </tableColumn>
  </tableColumns>
  <tableStyleInfo name="TableStyleMedium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70D95F1C-28FE-41EB-A68F-24ACB37B7918}" name="Table21" displayName="Table21" ref="AL1:AO12" totalsRowCount="1" headerRowDxfId="209">
  <autoFilter ref="AL1:AO11" xr:uid="{BB6D5EAD-060C-4EB3-8BCD-C4FDC25971BE}"/>
  <tableColumns count="4">
    <tableColumn id="1" xr3:uid="{A39C7258-0504-41CC-9DDB-8A419FA28CFF}" name="Male" totalsRowFunction="custom" totalsRowDxfId="208">
      <totalsRowFormula>SUM(Table21[Male])</totalsRowFormula>
    </tableColumn>
    <tableColumn id="2" xr3:uid="{59E2801E-6A7D-4896-B1AE-DAEFA1825E68}" name="Female" totalsRowFunction="custom" dataDxfId="207" totalsRowDxfId="206">
      <calculatedColumnFormula>Table19[[#This Row],[Overall Intersectorial Final PiN]]-Table21[[#This Row],[Male]]</calculatedColumnFormula>
      <totalsRowFormula>SUM(Table21[Female])</totalsRowFormula>
    </tableColumn>
    <tableColumn id="3" xr3:uid="{00ECF829-DCB4-464F-A7E8-1A9F93BDB587}" name="Male%"/>
    <tableColumn id="4" xr3:uid="{B3013859-32C2-4023-B892-593BB7062462}" name="Female %"/>
  </tableColumns>
  <tableStyleInfo name="TableStyleMedium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A79FA40-A8AE-477E-BDEF-C3F10085CD3C}" name="Table8" displayName="Table8" ref="AT2:AW95" totalsRowShown="0" headerRowDxfId="535" dataDxfId="533" headerRowBorderDxfId="534" headerRowCellStyle="Normal 2" dataCellStyle="Normal 2">
  <autoFilter ref="AT2:AW95" xr:uid="{D6AA69BA-E5AF-4A42-875F-572A9E106125}"/>
  <tableColumns count="4">
    <tableColumn id="1" xr3:uid="{84CB92BB-7A75-41BF-92CA-BDAB2A0D31E6}" name="Residents" dataDxfId="532" dataCellStyle="Normal 2">
      <calculatedColumnFormula>Table136[[#This Row],[Overall Intersectorial Final PiN]]-(Table8[[#This Row],[IDPs]]+Table8[[#This Row],[Returnee Migrants]]+Table8[[#This Row],[Refugees]])</calculatedColumnFormula>
    </tableColumn>
    <tableColumn id="2" xr3:uid="{7A0A4388-5882-4784-BFD5-D5EADAB487D7}" name="IDPs" dataDxfId="531" dataCellStyle="Normal 2">
      <calculatedColumnFormula>MAX(#REF!)</calculatedColumnFormula>
    </tableColumn>
    <tableColumn id="3" xr3:uid="{DB44FA1F-0E16-4BB4-BAE9-C32E6F56898C}" name="Returnee Migrants" dataDxfId="530" dataCellStyle="Comma">
      <calculatedColumnFormula>'Baseline_2020 Population Proj'!O2</calculatedColumnFormula>
    </tableColumn>
    <tableColumn id="4" xr3:uid="{5376E399-5271-4464-8800-E02C14900FFB}" name="Refugees" dataDxfId="529" dataCellStyle="Normal 2"/>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D2D991D-72C9-48B8-A031-D3757D2815CC}" name="Table9" displayName="Table9" ref="AY2:AY95" totalsRowShown="0" headerRowDxfId="528" dataDxfId="527" headerRowCellStyle="Normal 2" dataCellStyle="Normal 2">
  <autoFilter ref="AY2:AY95" xr:uid="{10A23A5C-1254-49AD-AA3D-F12219686726}"/>
  <tableColumns count="1">
    <tableColumn id="1" xr3:uid="{81147936-D897-422F-827B-63C7A04BF8E7}" name="2020 Inter-cluster Response " dataDxfId="526" dataCellStyle="Normal 2"/>
  </tableColumns>
  <tableStyleInfo name="TableStyleMedium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63E4AF2-C9D4-4CEA-A759-A94EB79B6E01}" name="Table1" displayName="Table1" ref="A1:S94" totalsRowCount="1" headerRowDxfId="525" dataDxfId="524" tableBorderDxfId="523" headerRowCellStyle="Normal 2" dataCellStyle="Normal 2">
  <autoFilter ref="A1:S93" xr:uid="{C0E2E04A-35AB-4441-9191-2E9B194F31BE}"/>
  <sortState xmlns:xlrd2="http://schemas.microsoft.com/office/spreadsheetml/2017/richdata2" ref="A2:S93">
    <sortCondition ref="A2:A93"/>
    <sortCondition ref="B2:B93"/>
  </sortState>
  <tableColumns count="19">
    <tableColumn id="1" xr3:uid="{EE9F0082-0CAD-4A6E-AD62-542EB175A949}" name="ADM1_EN" dataDxfId="522" totalsRowDxfId="521" dataCellStyle="Normal 2"/>
    <tableColumn id="2" xr3:uid="{AE3FE9E8-3BFD-4842-A561-13B693C928C5}" name="ADM2_EN" dataDxfId="520" totalsRowDxfId="519" dataCellStyle="Normal 2"/>
    <tableColumn id="3" xr3:uid="{22D2664C-A025-46ED-8AD4-B909122BED43}" name="Population projection 2020" totalsRowFunction="custom" dataDxfId="518" totalsRowDxfId="517" dataCellStyle="Normal 2">
      <totalsRowFormula>SUM(Table1[Population projection 2020])</totalsRowFormula>
    </tableColumn>
    <tableColumn id="4" xr3:uid="{103982EF-9D16-4787-8931-A87E6A39D3B8}" name="Male" totalsRowFunction="custom" dataDxfId="516" totalsRowDxfId="515" dataCellStyle="Normal 2">
      <totalsRowFormula>SUM(Table1[Male])</totalsRowFormula>
    </tableColumn>
    <tableColumn id="5" xr3:uid="{B9900261-F634-48A9-8839-ABB8CB7720EF}" name="Female" totalsRowFunction="custom" dataDxfId="514" totalsRowDxfId="513" dataCellStyle="Normal 2">
      <totalsRowFormula>SUM(Table1[Female])</totalsRowFormula>
    </tableColumn>
    <tableColumn id="14" xr3:uid="{30B11EB3-14FD-4DEB-BB26-D6DC8CBBAC3E}" name="Children 6 - 23 months 2020 projection" totalsRowFunction="custom" dataDxfId="512" totalsRowDxfId="511" dataCellStyle="Normal 2">
      <calculatedColumnFormula>Table1[[#This Row],[Population projection 2020]]*0.08</calculatedColumnFormula>
      <totalsRowFormula>SUM(Table1[Children 6 - 23 months 2020 projection])</totalsRowFormula>
    </tableColumn>
    <tableColumn id="6" xr3:uid="{CD877239-1EDD-47DA-8B90-BD058C6A54C2}" name="Children &lt;5 2020 projection2" totalsRowFunction="custom" dataDxfId="510" totalsRowDxfId="509" dataCellStyle="Normal 2">
      <totalsRowFormula>SUM(Table1[Children &lt;5 2020 projection2])</totalsRowFormula>
    </tableColumn>
    <tableColumn id="7" xr3:uid="{AA8863D1-F7EF-494A-9AA5-70EF1492BDB3}" name="Children &lt;18  2020 Projection" totalsRowFunction="custom" dataDxfId="508" totalsRowDxfId="507" dataCellStyle="Normal 2">
      <totalsRowFormula>SUM(Table1[Children &lt;18  2020 Projection])</totalsRowFormula>
    </tableColumn>
    <tableColumn id="8" xr3:uid="{1320ED2E-2B49-4E98-AE14-55B02C79CCC9}" name="Women and Girls (15-49 yrs) 2020 projection" totalsRowFunction="custom" dataDxfId="506" totalsRowDxfId="505" dataCellStyle="Normal 2">
      <totalsRowFormula>SUM(Table1[Women and Girls (15-49 yrs) 2020 projection])</totalsRowFormula>
    </tableColumn>
    <tableColumn id="18" xr3:uid="{B1B957CA-ADE2-4424-B6F5-E9F7DA1682EF}" name="Men and Boys (15-49 yrs) 2020 projection" totalsRowFunction="custom" dataDxfId="504" totalsRowDxfId="503" dataCellStyle="Normal 2">
      <totalsRowFormula>SUM(Table1[Men and Boys (15-49 yrs) 2020 projection])</totalsRowFormula>
    </tableColumn>
    <tableColumn id="9" xr3:uid="{1641B93E-57D7-48B4-996F-E56666B6439D}" name="Elderly (65+) _x000a_2020 projection" totalsRowFunction="custom" dataDxfId="502" totalsRowDxfId="501" dataCellStyle="Normal 2">
      <totalsRowFormula>SUM(Table1[Elderly (65+) 
2020 projection])</totalsRowFormula>
    </tableColumn>
    <tableColumn id="10" xr3:uid="{417E2356-D009-49BD-832F-6FD4B7B18ACA}" name="Total IDPs / Migrants" totalsRowFunction="custom" dataDxfId="500" totalsRowDxfId="499" dataCellStyle="Comma">
      <calculatedColumnFormula>SUM(Table1[[#This Row],[IDPs / Migrants Male]:[IDPs / Migrants Female]])</calculatedColumnFormula>
      <totalsRowFormula>SUM(Table1[Total IDPs / Migrants])</totalsRowFormula>
    </tableColumn>
    <tableColumn id="13" xr3:uid="{A3B7D2A7-7C1C-4833-B7E4-66C9918250BA}" name="IDPs / Migrants Male" totalsRowFunction="custom" dataDxfId="498" totalsRowDxfId="497" dataCellStyle="Normal 2">
      <totalsRowFormula>SUM(Table1[IDPs / Migrants Male])</totalsRowFormula>
    </tableColumn>
    <tableColumn id="12" xr3:uid="{D959E0F3-CF28-40DD-8A6A-32874B66492C}" name="IDPs / Migrants Female" totalsRowFunction="custom" dataDxfId="496" totalsRowDxfId="495" dataCellStyle="Normal 2">
      <totalsRowFormula>SUM(Table1[IDPs / Migrants Female])</totalsRowFormula>
    </tableColumn>
    <tableColumn id="15" xr3:uid="{060D3D74-EA6B-4A9F-A07A-CF91FD64D98B}" name="Total Returnees / Migrants" totalsRowFunction="custom" dataDxfId="494" totalsRowDxfId="493" dataCellStyle="Normal 2">
      <totalsRowFormula>SUM(Table1[Total Returnees / Migrants])</totalsRowFormula>
    </tableColumn>
    <tableColumn id="17" xr3:uid="{20BE92BA-9BB6-4C94-8C9D-91ADC9C6D861}" name="Returnees / Migrants Male" totalsRowFunction="custom" dataDxfId="492" totalsRowDxfId="491" dataCellStyle="Normal 2">
      <totalsRowFormula>SUM(Table1[Returnees / Migrants Male])</totalsRowFormula>
    </tableColumn>
    <tableColumn id="16" xr3:uid="{DF756B0D-6FB8-4608-80ED-ED6560A58D6E}" name="Returnees / Migrants Female" totalsRowFunction="custom" dataDxfId="490" totalsRowDxfId="489" dataCellStyle="Normal 2">
      <totalsRowFormula>SUM(Table1[Returnees / Migrants Female])</totalsRowFormula>
    </tableColumn>
    <tableColumn id="20" xr3:uid="{CC0D612B-C99B-4D59-83B0-72F8E9DD1A84}" name="Refugees &amp; Asylum seekers" totalsRowFunction="custom" dataDxfId="488" totalsRowDxfId="487" dataCellStyle="Normal 2">
      <totalsRowFormula>SUM(Table1[Refugees &amp; Asylum seekers])</totalsRowFormula>
    </tableColumn>
    <tableColumn id="11" xr3:uid="{648867A1-6BE6-4506-BFA9-E6AD548216C4}" name="People with Disability " totalsRowFunction="custom" dataDxfId="486" totalsRowDxfId="485" dataCellStyle="Normal 2">
      <calculatedColumnFormula>Table1[[#This Row],[Population projection 2020]]*0.07</calculatedColumnFormula>
      <totalsRowFormula>SUM(Table1[[People with Disability ]])</totalsRowFormula>
    </tableColumn>
  </tableColumns>
  <tableStyleInfo name="TableStyleLight1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4D41744-AE43-4F14-B1B9-C875A90EFA84}" name="Table13" displayName="Table13" ref="A2:AC94" totalsRowShown="0" headerRowDxfId="484" dataDxfId="483" tableBorderDxfId="482" headerRowCellStyle="Normal 2" dataCellStyle="Normal 2">
  <autoFilter ref="A2:AC94" xr:uid="{C3040DB9-5D8A-45FD-9A66-4BE017CBFDB1}"/>
  <sortState xmlns:xlrd2="http://schemas.microsoft.com/office/spreadsheetml/2017/richdata2" ref="A3:AC94">
    <sortCondition ref="A3:A94"/>
    <sortCondition ref="B3:B94"/>
  </sortState>
  <tableColumns count="29">
    <tableColumn id="1" xr3:uid="{23EDA22C-710D-461F-8A08-0541F958CAAE}" name="ADM1_EN" dataDxfId="481" totalsRowDxfId="480" dataCellStyle="Normal 2"/>
    <tableColumn id="2" xr3:uid="{81D15754-02A9-4CE9-9626-84E4AD924AC5}" name="ADM2_EN" dataDxfId="479" totalsRowDxfId="478" dataCellStyle="Normal 2"/>
    <tableColumn id="7" xr3:uid="{D9DC0A3A-6CD8-4439-9BF2-BE9B78345078}" name="% of population in sites with access to functioning complaints and feedback mechanisms" dataDxfId="477" dataCellStyle="Normal 2"/>
    <tableColumn id="6" xr3:uid="{407ED010-21D5-4A0E-8020-4D36BAAB2704}" name="% of population in sites with appropriate site management services" dataDxfId="476" dataCellStyle="Normal 2"/>
    <tableColumn id="8" xr3:uid="{BFC5E7C9-8F41-4C6E-AA6A-F339998A5002}" name="Number of survivors of GBV provided with a comprehensive response " dataDxfId="475" dataCellStyle="Normal 2"/>
    <tableColumn id="12" xr3:uid="{32397DD4-8EE0-4E4A-9B79-C47A33EA9D27}" name="Number of children reached with psychosocial support services " dataDxfId="474" dataCellStyle="Normal 2"/>
    <tableColumn id="9" xr3:uid="{FA996D7C-88CE-4358-A0DB-97E68EF5B4DC}" name="Number of children of school going age who are out of school (age 3-17)" dataDxfId="473" dataCellStyle="Normal 2"/>
    <tableColumn id="21" xr3:uid="{389C3877-93B1-4ADA-8834-AB718051B68B}" name="% children not attending school by sex and school-level (as a result of the crisis)" dataDxfId="472" dataCellStyle="Normal 2"/>
    <tableColumn id="20" xr3:uid="{017D366B-7461-4D4B-89D1-CD928ACDEBCC}" name="% children in schools without access to an improved drinking water source" dataDxfId="471" dataCellStyle="Normal 2"/>
    <tableColumn id="16" xr3:uid="{46BC8E16-DD6F-42FE-B7D7-5CCE3639A7F1}" name="% of children not receiving school feeding school by sex and school-level (as a result of the crisis)" dataDxfId="470" dataCellStyle="Normal 2"/>
    <tableColumn id="13" xr3:uid="{CF16CFC4-D6BA-471A-B6F3-58CD9F0F9B4D}" name="IPC" dataDxfId="469" dataCellStyle="Normal 2"/>
    <tableColumn id="26" xr3:uid="{4F67E035-F825-410B-93BB-D1427D8B7CAA}" name="% of girls / boys / women at risk of GBV (sexual violence and forced marriage / reproduction)" dataDxfId="468" dataCellStyle="Normal 2"/>
    <tableColumn id="24" xr3:uid="{A9ECFD9A-6D1B-47E9-850E-4B15A0E9F197}" name="% of girls / women without access to GBV-related services." dataDxfId="467" dataCellStyle="Normal 2"/>
    <tableColumn id="29" xr3:uid="{FCAF7119-DC27-40DD-8B65-531EB3E057BC}" name="Number of skilled birth attendant personnel (doctors, nurses, certified midwives) per 10,000 people" dataDxfId="466" dataCellStyle="Normal 2"/>
    <tableColumn id="34" xr3:uid="{95A7457D-4BDB-456D-85AF-FD27336B6A48}" name="Number of cases or incidence rates for selected diseases relevant to the local context (diarrhoea)" dataDxfId="465" dataCellStyle="Normal 2"/>
    <tableColumn id="27" xr3:uid="{0F6EDF08-3C3E-4259-AB5B-2A534A2CD45A}" name="Coverage of DTC3 (DPT3 / PENTA3) in &lt; 1 year old, by administrative unit2" dataDxfId="464" dataCellStyle="Normal 2"/>
    <tableColumn id="28" xr3:uid="{A1585CD8-A3E6-4D85-AD52-295848388505}" name="SAM" dataDxfId="463" dataCellStyle="Normal 2"/>
    <tableColumn id="4" xr3:uid="{3BD5CB02-8076-4E01-B08C-1BF117C7417B}" name="MAM" dataDxfId="462" dataCellStyle="Normal 2"/>
    <tableColumn id="30" xr3:uid="{FB93EEAB-E2D1-44A6-B53F-2AB66E33EEF2}" name="Minimum Acceptable Diet in children 6 to 23 months and PLW" dataDxfId="461" dataCellStyle="Normal 2"/>
    <tableColumn id="18" xr3:uid="{9B196451-5649-4937-A766-FE175A842057}" name="% or HHs currently living in unsustainable shelter situations" dataDxfId="460" dataCellStyle="Normal 2"/>
    <tableColumn id="19" xr3:uid="{4FA3FBD3-46CE-408C-A8F3-DDB1290CBCB3}" name="% of HH with no access to adequate housing space " dataDxfId="459" dataCellStyle="Normal 2"/>
    <tableColumn id="31" xr3:uid="{99E4F146-6CC0-48B8-BA70-4B2BD260A0BF}" name="% of HHs not having access to water sources of sufficient quality and availability" dataDxfId="458" dataCellStyle="Normal 2"/>
    <tableColumn id="25" xr3:uid="{13709A29-B123-4247-865D-EEAF5315BB3A}" name="% of HHs facing environmental sanitation problems (living in areas where solid waste, waterwaste, open defecation was visible around their accommodation - 30 meters or less)" dataDxfId="457" dataCellStyle="Normal 2"/>
    <tableColumn id="40" xr3:uid="{4BF2969A-27AD-43B9-9232-B6AC76EC84EA}" name="% of HH members without valid civil documentation and unable to obtain them" dataDxfId="456" dataCellStyle="Normal 2"/>
    <tableColumn id="39" xr3:uid="{A14A8407-F210-4765-96AF-DCE5B7AE5976}" name="% of population in specific groups excluded or with limited access to services (i.e. UASC, persons with disabilities, older persons, minority groups, etc.)" dataDxfId="455" dataCellStyle="Normal 2"/>
    <tableColumn id="38" xr3:uid="{9A3D32C7-EECA-4FF3-B9B5-907662C80749}" name="% of population in sites/communities reporting protection incidents in the last 3 months" dataDxfId="454" dataCellStyle="Normal 2"/>
    <tableColumn id="3" xr3:uid="{ACF6AC99-BEC3-4CD8-969C-9F841F6D10A5}" name="Column1" dataDxfId="453" dataCellStyle="Normal 2"/>
    <tableColumn id="36" xr3:uid="{6DE5123F-523B-42AB-A5B7-2DB1BC69349B}" name="JIAF Severity score" dataDxfId="452" dataCellStyle="Normal 2">
      <calculatedColumnFormula>ROUNDUP(AVERAGE(Table13[[#This Row],[% of population in sites with access to functioning complaints and feedback mechanisms]:[% of population in sites/communities reporting protection incidents in the last 3 months]]),0)</calculatedColumnFormula>
    </tableColumn>
    <tableColumn id="37" xr3:uid="{75853B0C-B5BE-4B91-BF4D-F08B741A05B5}" name="Critical Indicators (Final Severity scores" dataDxfId="451" dataCellStyle="Normal 2">
      <calculatedColumnFormula>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calculatedColumnFormula>
    </tableColumn>
  </tableColumns>
  <tableStyleInfo name="TableStyleLight1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29746F4-90BF-4DE6-A938-8EC22B76A78F}" name="Table6" displayName="Table6" ref="AE2:AM94" totalsRowShown="0" headerRowDxfId="450" dataDxfId="449" headerRowCellStyle="Normal 2" dataCellStyle="Comma">
  <autoFilter ref="AE2:AM94" xr:uid="{92A29A4F-F174-4137-8B8B-0062D9297205}"/>
  <tableColumns count="9">
    <tableColumn id="1" xr3:uid="{671A7ADD-52B8-4410-9298-E5BDE41703DA}" name="Food Security" dataDxfId="448" dataCellStyle="Comma">
      <calculatedColumnFormula>Table1345[[#This Row],[FSC Severity]]</calculatedColumnFormula>
    </tableColumn>
    <tableColumn id="2" xr3:uid="{9C1D9F11-99D3-460D-AE8D-F271E33E41D7}" name="Education" dataDxfId="447" dataCellStyle="Comma">
      <calculatedColumnFormula>Table1345[[#This Row],[Education Severity]]</calculatedColumnFormula>
    </tableColumn>
    <tableColumn id="3" xr3:uid="{AC179027-7E1F-47AD-9984-617A92DAED23}" name="Nutrition" dataDxfId="446" dataCellStyle="Comma">
      <calculatedColumnFormula>Table1345[[#This Row],[Nutrition Severity]]</calculatedColumnFormula>
    </tableColumn>
    <tableColumn id="4" xr3:uid="{5BE50CDD-38F9-482D-99A7-EED8A1A0AAD3}" name="WASH" dataDxfId="445" dataCellStyle="Comma">
      <calculatedColumnFormula>Table1345[[#This Row],[WASH_Severity]]</calculatedColumnFormula>
    </tableColumn>
    <tableColumn id="5" xr3:uid="{FA6D6B3F-974B-49C8-9EE2-50898D9DAE72}" name="Health" dataDxfId="444" dataCellStyle="Comma">
      <calculatedColumnFormula>Table1345[[#This Row],[Health Severity]]</calculatedColumnFormula>
    </tableColumn>
    <tableColumn id="6" xr3:uid="{C1E75BC7-B2F4-4F3E-80E0-9808288FE5B7}" name="GBV - Protection" dataDxfId="443" dataCellStyle="Comma">
      <calculatedColumnFormula>Table1345[[#This Row],[Protection/GBV Severity]]</calculatedColumnFormula>
    </tableColumn>
    <tableColumn id="7" xr3:uid="{DC59FD94-0740-447D-886C-72AE6026748C}" name="Child Protection" dataDxfId="442" dataCellStyle="Comma">
      <calculatedColumnFormula>Table1345[[#This Row],[CP_Severity]]</calculatedColumnFormula>
    </tableColumn>
    <tableColumn id="8" xr3:uid="{A915E229-3170-410C-920A-394B67C9D46D}" name="NFI/Shelter" dataDxfId="441" dataCellStyle="Comma">
      <calculatedColumnFormula>Table1345[[#This Row],[Shelter/NFIs Severity]]</calculatedColumnFormula>
    </tableColumn>
    <tableColumn id="9" xr3:uid="{A41FD59E-112F-4394-AE13-CD02170A5BE7}" name="CCCM" dataDxfId="440" dataCellStyle="Comma">
      <calculatedColumnFormula>Table1345[[#This Row],[CCCM_Severity]]</calculatedColumnFormula>
    </tableColumn>
  </tableColumns>
  <tableStyleInfo name="TableStyleMedium1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868E05B-57AC-47D1-8A9A-2F8565CA5964}" name="Table15" displayName="Table15" ref="A1:B14" totalsRowShown="0" headerRowDxfId="439" dataDxfId="437" headerRowBorderDxfId="438" headerRowCellStyle="Comma" dataCellStyle="Comma">
  <autoFilter ref="A1:B14" xr:uid="{B8F2CBF2-14F1-4BE8-8C61-F05F64FFDD9D}"/>
  <sortState xmlns:xlrd2="http://schemas.microsoft.com/office/spreadsheetml/2017/richdata2" ref="A2:B13">
    <sortCondition descending="1" ref="B2:B13"/>
  </sortState>
  <tableColumns count="2">
    <tableColumn id="1" xr3:uid="{97C7634E-D4C2-4EC4-8DCD-2C71C7A8B407}" name="Cluster" dataDxfId="436" dataCellStyle="Comma"/>
    <tableColumn id="2" xr3:uid="{E3DAE85A-EC96-4BEE-B45A-DD07AD7E8EF0}" name="Amount (US$)" dataDxfId="435" dataCellStyle="Comma"/>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EE30395-EFA4-41F2-89C9-15D5E102D062}" name="Table13611" displayName="Table13611" ref="A2:AN95" totalsRowCount="1" headerRowDxfId="434" dataDxfId="433" tableBorderDxfId="432" headerRowCellStyle="Normal 2" dataCellStyle="Normal 2">
  <autoFilter ref="A2:AN94" xr:uid="{44810536-EB14-4C8B-8B47-C46FA22F201C}"/>
  <sortState xmlns:xlrd2="http://schemas.microsoft.com/office/spreadsheetml/2017/richdata2" ref="A3:AN94">
    <sortCondition ref="A3:A94"/>
    <sortCondition ref="B3:B94"/>
  </sortState>
  <tableColumns count="40">
    <tableColumn id="1" xr3:uid="{3B9702D6-F8CD-4494-A43B-BCE75AF8128E}" name="ADM1_EN" dataDxfId="431" totalsRowDxfId="430" dataCellStyle="Normal 2"/>
    <tableColumn id="2" xr3:uid="{6DBD2679-F60F-4E78-8DF0-64441CE892AE}" name="ADM2_EN" dataDxfId="429" totalsRowDxfId="428" dataCellStyle="Normal 2"/>
    <tableColumn id="3" xr3:uid="{388EA570-2301-4A0B-85B5-301E2793294A}" name="Population Groups" dataDxfId="427" totalsRowDxfId="426" dataCellStyle="Comma"/>
    <tableColumn id="16" xr3:uid="{4CB20879-0E6E-4FBE-B8D6-5BAB5C29CF3F}" name="Overall Intersectorial PiN" totalsRowFunction="custom" dataDxfId="425" totalsRowDxfId="424" dataCellStyle="Comma">
      <calculatedColumnFormula>Table136[[#This Row],[Overall Intersectorial Final PiN]]</calculatedColumnFormula>
      <totalsRowFormula>SUM(Table13611[Overall Intersectorial PiN])</totalsRowFormula>
    </tableColumn>
    <tableColumn id="9" xr3:uid="{C45E3AAE-B079-47FE-A7CE-86733FD200A2}" name="CCCM Target" dataDxfId="423" totalsRowDxfId="422" dataCellStyle="Comma">
      <calculatedColumnFormula>Table1345[[#This Row],[CCCM_Target]]</calculatedColumnFormula>
    </tableColumn>
    <tableColumn id="7" xr3:uid="{F595C4EC-2AD0-4A7A-8423-4B7428E6E337}" name="CCCM Male" dataDxfId="421" totalsRowDxfId="420" dataCellStyle="Comma"/>
    <tableColumn id="5" xr3:uid="{7B4AEDD5-545E-4793-B8A7-0C7A2C86090D}" name="CCCM Female" dataDxfId="419" totalsRowDxfId="418" dataCellStyle="Comma"/>
    <tableColumn id="8" xr3:uid="{77C80E05-38A3-44CA-8EB2-104474ED7217}" name="CP Target" dataDxfId="417" totalsRowDxfId="416" dataCellStyle="Comma"/>
    <tableColumn id="11" xr3:uid="{49198486-C9E3-467F-B7B3-CC29A97707CC}" name="CP Boys" dataDxfId="415" totalsRowDxfId="414" dataCellStyle="Comma"/>
    <tableColumn id="10" xr3:uid="{6D89228E-01FA-4772-8747-B890D33B9BDD}" name="CP Girls" dataDxfId="413" totalsRowDxfId="412" dataCellStyle="Comma"/>
    <tableColumn id="20" xr3:uid="{8F8DEAE3-4EF9-49C8-9294-BCC8353E2AE9}" name="Education Target" dataDxfId="411" totalsRowDxfId="410" dataCellStyle="Comma">
      <calculatedColumnFormula>Table1345[[#This Row],[Education Target]]</calculatedColumnFormula>
    </tableColumn>
    <tableColumn id="17" xr3:uid="{2E55E5A3-2C97-419D-BB76-1F8623C10831}" name="Edu. Boys" dataDxfId="409" totalsRowDxfId="408" dataCellStyle="Comma"/>
    <tableColumn id="12" xr3:uid="{3471D2F0-D085-4909-937D-9ED98601FD39}" name="Edu. Girls" dataDxfId="407" totalsRowDxfId="406" dataCellStyle="Comma"/>
    <tableColumn id="15" xr3:uid="{E001DD7B-C912-419D-9B99-8854960718E1}" name="FSC Targets" dataDxfId="405" totalsRowDxfId="404" dataCellStyle="Comma">
      <calculatedColumnFormula>Table1345[[#This Row],[FSC Target]]</calculatedColumnFormula>
    </tableColumn>
    <tableColumn id="14" xr3:uid="{0A930664-D30D-4D54-A527-6462CC5D52D9}" name="FSC Male" dataDxfId="403" totalsRowDxfId="402" dataCellStyle="Comma"/>
    <tableColumn id="13" xr3:uid="{50E5F671-F555-4383-BDA8-87FB6FA42FDD}" name="FSC Female" dataDxfId="401" totalsRowDxfId="400" dataCellStyle="Comma"/>
    <tableColumn id="26" xr3:uid="{3100464A-ECD8-4F28-BFCF-1A24B314F25D}" name="GBV Targets" dataDxfId="399" totalsRowDxfId="398" dataCellStyle="Comma"/>
    <tableColumn id="6" xr3:uid="{4238B12F-7C88-4432-8094-DF1A00BF134A}" name="GBV Male" dataDxfId="397" totalsRowDxfId="396" dataCellStyle="Comma"/>
    <tableColumn id="24" xr3:uid="{6F12314E-30BB-4BEC-A475-318CF9A94020}" name="GBV Female" dataDxfId="395" totalsRowDxfId="394" dataCellStyle="Comma"/>
    <tableColumn id="35" xr3:uid="{1CA84BAA-4D69-4288-A8EC-9FEA09812716}" name="Health Targets" dataDxfId="393" totalsRowDxfId="392" dataCellStyle="Comma">
      <calculatedColumnFormula>0.65*Table1345[[#This Row],[Health PiN]]</calculatedColumnFormula>
    </tableColumn>
    <tableColumn id="34" xr3:uid="{FF9F5F8F-7F89-4CD5-9405-867D0C37797B}" name="Health Male" dataDxfId="391" totalsRowDxfId="390" dataCellStyle="Comma"/>
    <tableColumn id="27" xr3:uid="{8C5F4605-9C8C-4461-BB10-6948BAFA48B3}" name="Health Female" dataDxfId="389" totalsRowDxfId="388" dataCellStyle="Comma"/>
    <tableColumn id="28" xr3:uid="{C65B01BE-9AD6-4232-8D5C-AF592F1441A2}" name="Nut. Targets" dataDxfId="387" totalsRowDxfId="386" dataCellStyle="Comma">
      <calculatedColumnFormula>Table1345[[#This Row],[Nutrition Target]]</calculatedColumnFormula>
    </tableColumn>
    <tableColumn id="4" xr3:uid="{7DB47CC1-FC43-4221-AA44-CDA2ACB6C51E}" name="Children &lt;5 Male " dataDxfId="385" totalsRowDxfId="384" dataCellStyle="Comma"/>
    <tableColumn id="29" xr3:uid="{F3FC25A2-0D89-4A6E-9927-5F3C2531AA17}" name="Children &lt;5 Female" dataDxfId="383" totalsRowDxfId="382" dataCellStyle="Comma"/>
    <tableColumn id="23" xr3:uid="{F8BF9C59-A3D0-4A30-A555-68023F54793B}" name="PLW" dataDxfId="381" totalsRowDxfId="380" dataCellStyle="Comma"/>
    <tableColumn id="18" xr3:uid="{AD751BDE-A555-4A4B-8F9B-A277CCF618D7}" name="NFI/S Targets" dataDxfId="379" totalsRowDxfId="378" dataCellStyle="Comma">
      <calculatedColumnFormula>Table1345[[#This Row],[Shelter/NFIs Target]]</calculatedColumnFormula>
    </tableColumn>
    <tableColumn id="19" xr3:uid="{C53C0F2D-A215-4799-90DA-F39487AFF463}" name="NFI/S Male" dataDxfId="377" totalsRowDxfId="376" dataCellStyle="Comma"/>
    <tableColumn id="21" xr3:uid="{EB63943E-DBF1-408E-8A26-DF006A788F96}" name="NFI/S Female" dataDxfId="375" totalsRowDxfId="374" dataCellStyle="Comma"/>
    <tableColumn id="33" xr3:uid="{0DDF788E-73DD-4C25-A86C-27ABA966AAC2}" name="Boys" dataDxfId="373" totalsRowDxfId="372" dataCellStyle="Comma"/>
    <tableColumn id="32" xr3:uid="{0766BD54-1779-447C-AC23-484D75FE0E08}" name="Girls" dataDxfId="371" totalsRowDxfId="370" dataCellStyle="Comma"/>
    <tableColumn id="31" xr3:uid="{7C16F27F-8A48-4467-949B-C23157DBBEBC}" name="PWD" dataDxfId="369" totalsRowDxfId="368" dataCellStyle="Comma"/>
    <tableColumn id="25" xr3:uid="{F78B9621-C193-49C9-8988-02235B49C4F3}" name="WASH Targets" dataDxfId="367" totalsRowDxfId="366" dataCellStyle="Comma">
      <calculatedColumnFormula>Table1345[[#This Row],[WASH Targets]]</calculatedColumnFormula>
    </tableColumn>
    <tableColumn id="30" xr3:uid="{78A94997-63B5-4120-A534-DDD131081AB1}" name="WASH Male" dataDxfId="365" totalsRowDxfId="364" dataCellStyle="Comma"/>
    <tableColumn id="22" xr3:uid="{7675D766-CDDA-4145-AC39-E4D72A140B5E}" name="WASH Female" dataDxfId="363" totalsRowDxfId="362" dataCellStyle="Comma"/>
    <tableColumn id="42" xr3:uid="{EBD5F33B-277B-4CAC-BF1F-32141639EE05}" name="Refugee Targets" dataDxfId="361" totalsRowDxfId="360" dataCellStyle="Comma"/>
    <tableColumn id="41" xr3:uid="{454366A3-6B5F-4E8C-9EA5-DF78203FD8AE}" name="Refugee Male" dataDxfId="359" totalsRowDxfId="358" dataCellStyle="Comma"/>
    <tableColumn id="40" xr3:uid="{81F026E2-B8BC-499D-B4C2-8917CC29B216}" name="Refugee Female" dataDxfId="357" totalsRowDxfId="356" dataCellStyle="Comma"/>
    <tableColumn id="43" xr3:uid="{334BDD3B-0D19-49DB-B5D3-A928862DFBE6}" name="Column1" dataDxfId="355" totalsRowDxfId="354" dataCellStyle="Comma"/>
    <tableColumn id="36" xr3:uid="{286C5F77-050D-4EF0-9BAD-406062BE6668}" name="Overall Intersectorial Final Target" totalsRowFunction="custom" dataDxfId="353" totalsRowDxfId="352" dataCellStyle="Comma">
      <calculatedColumnFormula>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calculatedColumnFormula>
      <totalsRowFormula>SUM(Table13611[Overall Intersectorial Final Target])</totalsRowFormula>
    </tableColumn>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9.bin"/><Relationship Id="rId5" Type="http://schemas.openxmlformats.org/officeDocument/2006/relationships/table" Target="../tables/table20.xml"/><Relationship Id="rId4" Type="http://schemas.openxmlformats.org/officeDocument/2006/relationships/table" Target="../tables/table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rive.google.com/file/d/1moNTvOMwwQkhTodVj3ZIRJoQlgMudCHX/view?usp=sharing"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5.bin"/><Relationship Id="rId4"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B053A-7380-46C6-812F-1928445E9828}">
  <sheetPr>
    <tabColor theme="9" tint="-0.499984740745262"/>
  </sheetPr>
  <dimension ref="A1:BC101"/>
  <sheetViews>
    <sheetView showGridLines="0" tabSelected="1" zoomScale="99" zoomScaleNormal="99" workbookViewId="0">
      <pane xSplit="5" ySplit="2" topLeftCell="F3" activePane="bottomRight" state="frozen"/>
      <selection pane="topRight" activeCell="E1" sqref="E1"/>
      <selection pane="bottomLeft" activeCell="A3" sqref="A3"/>
      <selection pane="bottomRight" activeCell="A2" sqref="A2:XFD2"/>
    </sheetView>
  </sheetViews>
  <sheetFormatPr defaultColWidth="15.5703125" defaultRowHeight="12.75" x14ac:dyDescent="0.2"/>
  <cols>
    <col min="1" max="1" width="21.5703125" style="2" customWidth="1"/>
    <col min="2" max="3" width="16" style="2" customWidth="1"/>
    <col min="4" max="5" width="12.42578125" style="59" customWidth="1"/>
    <col min="6" max="7" width="9.42578125" style="4" customWidth="1"/>
    <col min="8" max="15" width="8.42578125" style="4" customWidth="1"/>
    <col min="16" max="18" width="9.140625" style="4" customWidth="1"/>
    <col min="19" max="20" width="8.42578125" style="4" customWidth="1"/>
    <col min="21" max="21" width="9.7109375" style="4" customWidth="1"/>
    <col min="22" max="22" width="8.85546875" style="4" customWidth="1"/>
    <col min="23" max="24" width="8.42578125" style="4" customWidth="1"/>
    <col min="25" max="25" width="8.7109375" style="4" customWidth="1"/>
    <col min="26" max="26" width="7.140625" style="4" customWidth="1"/>
    <col min="27" max="27" width="9.5703125" style="4" customWidth="1"/>
    <col min="28" max="29" width="10.42578125" style="4" customWidth="1"/>
    <col min="30" max="32" width="9" style="4" customWidth="1"/>
    <col min="33" max="33" width="2.28515625" style="63" customWidth="1"/>
    <col min="34" max="34" width="14.42578125" style="4" customWidth="1"/>
    <col min="35" max="35" width="2.140625" style="63" customWidth="1"/>
    <col min="36" max="36" width="13.85546875" style="4" customWidth="1"/>
    <col min="37" max="37" width="14.140625" style="4" customWidth="1"/>
    <col min="38" max="38" width="13.85546875" style="4" customWidth="1"/>
    <col min="39" max="39" width="14" style="4" customWidth="1"/>
    <col min="40" max="40" width="13.42578125" style="4" customWidth="1"/>
    <col min="41" max="41" width="14" style="4" customWidth="1"/>
    <col min="42" max="42" width="13.5703125" style="4" customWidth="1"/>
    <col min="43" max="43" width="11.42578125" style="4" customWidth="1"/>
    <col min="44" max="44" width="11.7109375" style="4" customWidth="1"/>
    <col min="45" max="45" width="1.140625" style="67" customWidth="1"/>
    <col min="46" max="46" width="11.28515625" style="4" customWidth="1"/>
    <col min="47" max="47" width="9.28515625" style="4" customWidth="1"/>
    <col min="48" max="48" width="9.7109375" style="4" customWidth="1"/>
    <col min="49" max="49" width="9.5703125" style="4" customWidth="1"/>
    <col min="50" max="50" width="1.140625" style="63" customWidth="1"/>
    <col min="51" max="51" width="14" style="4" customWidth="1"/>
    <col min="52" max="52" width="0.85546875" style="63" customWidth="1"/>
    <col min="53" max="56" width="0" style="4" hidden="1" customWidth="1"/>
    <col min="57" max="16384" width="15.5703125" style="4"/>
  </cols>
  <sheetData>
    <row r="1" spans="1:55" ht="31.5" customHeight="1" x14ac:dyDescent="0.35">
      <c r="F1" s="320" t="s">
        <v>201</v>
      </c>
      <c r="G1" s="320"/>
      <c r="H1" s="320" t="s">
        <v>323</v>
      </c>
      <c r="I1" s="320"/>
      <c r="J1" s="320"/>
      <c r="K1" s="320" t="s">
        <v>254</v>
      </c>
      <c r="L1" s="320"/>
      <c r="M1" s="320"/>
      <c r="N1" s="323" t="s">
        <v>261</v>
      </c>
      <c r="O1" s="323"/>
      <c r="P1" s="324"/>
      <c r="Q1" s="321" t="s">
        <v>467</v>
      </c>
      <c r="R1" s="321"/>
      <c r="S1" s="320" t="s">
        <v>270</v>
      </c>
      <c r="T1" s="320"/>
      <c r="U1" s="320"/>
      <c r="V1" s="320"/>
      <c r="W1" s="321" t="s">
        <v>218</v>
      </c>
      <c r="X1" s="321"/>
      <c r="Y1" s="321"/>
      <c r="Z1" s="320" t="s">
        <v>468</v>
      </c>
      <c r="AA1" s="320"/>
      <c r="AB1" s="320" t="s">
        <v>239</v>
      </c>
      <c r="AC1" s="320"/>
      <c r="AD1" s="322" t="s">
        <v>469</v>
      </c>
      <c r="AE1" s="322"/>
      <c r="AF1" s="322"/>
      <c r="AG1" s="81"/>
      <c r="AH1" s="86" t="s">
        <v>322</v>
      </c>
      <c r="AJ1" s="319" t="s">
        <v>404</v>
      </c>
      <c r="AK1" s="319"/>
      <c r="AL1" s="319"/>
      <c r="AM1" s="319"/>
      <c r="AN1" s="319"/>
      <c r="AO1" s="319"/>
      <c r="AP1" s="319"/>
      <c r="AQ1" s="319"/>
      <c r="AR1" s="319"/>
      <c r="AT1" s="319" t="s">
        <v>403</v>
      </c>
      <c r="AU1" s="319"/>
      <c r="AV1" s="319"/>
      <c r="AW1" s="319"/>
    </row>
    <row r="2" spans="1:55" s="1" customFormat="1" ht="72.95" customHeight="1" thickBot="1" x14ac:dyDescent="0.3">
      <c r="A2" s="7" t="s">
        <v>0</v>
      </c>
      <c r="B2" s="7" t="s">
        <v>1</v>
      </c>
      <c r="C2" s="222" t="s">
        <v>519</v>
      </c>
      <c r="D2" s="208" t="s">
        <v>308</v>
      </c>
      <c r="E2" s="208" t="s">
        <v>478</v>
      </c>
      <c r="F2" s="204" t="s">
        <v>203</v>
      </c>
      <c r="G2" s="75" t="s">
        <v>206</v>
      </c>
      <c r="H2" s="58" t="s">
        <v>235</v>
      </c>
      <c r="I2" s="75" t="s">
        <v>317</v>
      </c>
      <c r="J2" s="75" t="s">
        <v>238</v>
      </c>
      <c r="K2" s="75" t="s">
        <v>256</v>
      </c>
      <c r="L2" s="75" t="s">
        <v>258</v>
      </c>
      <c r="M2" s="75" t="s">
        <v>260</v>
      </c>
      <c r="N2" s="75" t="s">
        <v>476</v>
      </c>
      <c r="O2" s="73" t="s">
        <v>477</v>
      </c>
      <c r="P2" s="73" t="s">
        <v>475</v>
      </c>
      <c r="Q2" s="72" t="s">
        <v>212</v>
      </c>
      <c r="R2" s="75" t="s">
        <v>210</v>
      </c>
      <c r="S2" s="73" t="s">
        <v>283</v>
      </c>
      <c r="T2" s="73" t="s">
        <v>636</v>
      </c>
      <c r="U2" s="73" t="s">
        <v>466</v>
      </c>
      <c r="V2" s="75" t="s">
        <v>272</v>
      </c>
      <c r="W2" s="198" t="s">
        <v>473</v>
      </c>
      <c r="X2" s="75" t="s">
        <v>474</v>
      </c>
      <c r="Y2" s="75" t="s">
        <v>472</v>
      </c>
      <c r="Z2" s="75" t="s">
        <v>195</v>
      </c>
      <c r="AA2" s="75" t="s">
        <v>294</v>
      </c>
      <c r="AB2" s="75" t="s">
        <v>241</v>
      </c>
      <c r="AC2" s="75" t="s">
        <v>309</v>
      </c>
      <c r="AD2" s="75" t="s">
        <v>318</v>
      </c>
      <c r="AE2" s="75" t="s">
        <v>319</v>
      </c>
      <c r="AF2" s="75" t="s">
        <v>320</v>
      </c>
      <c r="AG2" s="82" t="s">
        <v>314</v>
      </c>
      <c r="AH2" s="47" t="s">
        <v>398</v>
      </c>
      <c r="AI2" s="64"/>
      <c r="AJ2" s="65" t="s">
        <v>261</v>
      </c>
      <c r="AK2" s="65" t="s">
        <v>254</v>
      </c>
      <c r="AL2" s="65" t="s">
        <v>218</v>
      </c>
      <c r="AM2" s="65" t="s">
        <v>239</v>
      </c>
      <c r="AN2" s="65" t="s">
        <v>270</v>
      </c>
      <c r="AO2" s="65" t="s">
        <v>470</v>
      </c>
      <c r="AP2" s="65" t="s">
        <v>323</v>
      </c>
      <c r="AQ2" s="65" t="s">
        <v>468</v>
      </c>
      <c r="AR2" s="65" t="s">
        <v>201</v>
      </c>
      <c r="AS2" s="68"/>
      <c r="AT2" s="69" t="s">
        <v>311</v>
      </c>
      <c r="AU2" s="70" t="s">
        <v>176</v>
      </c>
      <c r="AV2" s="70" t="s">
        <v>312</v>
      </c>
      <c r="AW2" s="71" t="s">
        <v>313</v>
      </c>
      <c r="AX2" s="64"/>
      <c r="AY2" s="110" t="s">
        <v>397</v>
      </c>
      <c r="AZ2" s="64"/>
      <c r="BA2" s="1" t="s">
        <v>578</v>
      </c>
      <c r="BB2" s="1" t="s">
        <v>579</v>
      </c>
    </row>
    <row r="3" spans="1:55" ht="13.5" customHeight="1" thickTop="1" x14ac:dyDescent="0.2">
      <c r="A3" s="223" t="s">
        <v>5</v>
      </c>
      <c r="B3" s="223" t="s">
        <v>5</v>
      </c>
      <c r="C3" s="223" t="s">
        <v>517</v>
      </c>
      <c r="D3" s="209">
        <f>'Baseline_2020 Population Proj'!C2</f>
        <v>763366</v>
      </c>
      <c r="E3" s="209"/>
      <c r="F3" s="205"/>
      <c r="G3" s="74"/>
      <c r="H3" s="74">
        <v>55750.921908700097</v>
      </c>
      <c r="I3" s="74"/>
      <c r="J3" s="74"/>
      <c r="K3" s="74">
        <v>61182.148005387913</v>
      </c>
      <c r="L3" s="74">
        <v>0</v>
      </c>
      <c r="M3" s="74">
        <v>100711</v>
      </c>
      <c r="N3" s="74"/>
      <c r="O3" s="74"/>
      <c r="P3" s="74">
        <v>333183.10168759403</v>
      </c>
      <c r="Q3" s="77">
        <v>103213.0531928</v>
      </c>
      <c r="R3" s="74">
        <v>41285.221277119999</v>
      </c>
      <c r="S3" s="74">
        <v>126963.03312000002</v>
      </c>
      <c r="T3" s="74">
        <v>5194.7999999999993</v>
      </c>
      <c r="U3" s="74">
        <v>458019.6</v>
      </c>
      <c r="V3" s="76">
        <v>33588.103999999999</v>
      </c>
      <c r="W3" s="52">
        <v>2282.46434</v>
      </c>
      <c r="X3" s="74">
        <v>595.42548000000033</v>
      </c>
      <c r="Y3" s="74">
        <v>80458.776400000002</v>
      </c>
      <c r="Z3" s="74"/>
      <c r="AA3" s="74"/>
      <c r="AB3" s="66">
        <v>0</v>
      </c>
      <c r="AC3" s="74">
        <v>0</v>
      </c>
      <c r="AD3" s="74">
        <v>0</v>
      </c>
      <c r="AE3" s="74">
        <v>0</v>
      </c>
      <c r="AF3" s="74">
        <v>0</v>
      </c>
      <c r="AG3" s="83"/>
      <c r="AH3"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458019.6</v>
      </c>
      <c r="AJ3" s="59">
        <f>Table1345[[#This Row],[FSC PiN]]</f>
        <v>333183.10168759403</v>
      </c>
      <c r="AK3" s="59">
        <f>Table1345[[#This Row],[Education PiN]]</f>
        <v>100711</v>
      </c>
      <c r="AL3" s="59">
        <f>Table1345[[#This Row],[Nutrition PiN]]</f>
        <v>80458.776400000002</v>
      </c>
      <c r="AM3" s="59">
        <f>Table1345[[#This Row],[WASH_PiN]]</f>
        <v>76336.600000000006</v>
      </c>
      <c r="AN3" s="59">
        <f>Table1345[[#This Row],[Health PiN]]</f>
        <v>458019.6</v>
      </c>
      <c r="AO3" s="59">
        <f>Table1345[[#This Row],[Protection/GBV PiN]]</f>
        <v>111084.40962720002</v>
      </c>
      <c r="AP3" s="59">
        <f>Table1345[[#This Row],[CP_PiN]]</f>
        <v>55750.92190870014</v>
      </c>
      <c r="AQ3" s="59">
        <f>Table1345[[#This Row],[Shelter/NFIs PiN]]</f>
        <v>0</v>
      </c>
      <c r="AR3" s="59">
        <f>Table1345[[#This Row],[CCCM_PiN]]</f>
        <v>0</v>
      </c>
      <c r="AT3" s="79">
        <f>Table136[[#This Row],[Overall Intersectorial Final PiN]]-(Table8[[#This Row],[IDPs]]+Table8[[#This Row],[Returnee Migrants]]+Table8[[#This Row],[Refugees]])</f>
        <v>458019.6</v>
      </c>
      <c r="AU3" s="66">
        <f>'Baseline_2020 Population Proj'!L2</f>
        <v>0</v>
      </c>
      <c r="AV3" s="66">
        <v>0</v>
      </c>
      <c r="AW3" s="78">
        <f>'Baseline_2020 Population Proj'!R2</f>
        <v>0</v>
      </c>
      <c r="AY3" s="59">
        <v>39968</v>
      </c>
      <c r="BA3" s="66">
        <f>MAX(Table136[[#This Row],[IPC 4]],Table136[[#This Row],[SAM]],Table136[[#This Row],[Gap]])</f>
        <v>5194.7999999999993</v>
      </c>
      <c r="BB3" s="79">
        <f>Table136[[#This Row],[Overall Intersectorial Final PiN]]-BA3</f>
        <v>452824.8</v>
      </c>
      <c r="BC3" s="62">
        <f>Table136[[#This Row],[Overall Intersectorial Final PiN]]*0.07</f>
        <v>32061.372000000003</v>
      </c>
    </row>
    <row r="4" spans="1:55" x14ac:dyDescent="0.2">
      <c r="A4" s="223" t="s">
        <v>104</v>
      </c>
      <c r="B4" s="223" t="s">
        <v>104</v>
      </c>
      <c r="C4" s="223" t="s">
        <v>517</v>
      </c>
      <c r="D4" s="209">
        <f>'Baseline_2020 Population Proj'!C3</f>
        <v>1035.4577840894306</v>
      </c>
      <c r="E4" s="209"/>
      <c r="F4" s="206"/>
      <c r="G4" s="52"/>
      <c r="H4" s="52"/>
      <c r="I4" s="52"/>
      <c r="J4" s="52"/>
      <c r="K4" s="52"/>
      <c r="L4" s="52"/>
      <c r="M4" s="52"/>
      <c r="N4" s="52"/>
      <c r="O4" s="52"/>
      <c r="P4" s="52">
        <v>451.94184201219275</v>
      </c>
      <c r="Q4" s="51">
        <v>0</v>
      </c>
      <c r="R4" s="52">
        <v>0</v>
      </c>
      <c r="S4" s="52" t="s">
        <v>471</v>
      </c>
      <c r="T4" s="74">
        <v>0</v>
      </c>
      <c r="U4" s="74">
        <v>310.63733522682918</v>
      </c>
      <c r="V4" s="52" t="s">
        <v>471</v>
      </c>
      <c r="W4" s="52">
        <v>2.1537521909060158</v>
      </c>
      <c r="X4" s="52">
        <v>2.1537521909060158</v>
      </c>
      <c r="Y4" s="52">
        <v>114.93581403392679</v>
      </c>
      <c r="Z4" s="52"/>
      <c r="AA4" s="52"/>
      <c r="AB4" s="66">
        <v>0</v>
      </c>
      <c r="AC4" s="52">
        <v>0</v>
      </c>
      <c r="AD4" s="52">
        <v>0</v>
      </c>
      <c r="AE4" s="52">
        <v>0</v>
      </c>
      <c r="AF4" s="52">
        <v>0</v>
      </c>
      <c r="AG4" s="84"/>
      <c r="AH4"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451.94184201219275</v>
      </c>
      <c r="AJ4" s="59">
        <f>Table1345[[#This Row],[FSC PiN]]</f>
        <v>451.94184201219275</v>
      </c>
      <c r="AK4" s="59">
        <f>Table1345[[#This Row],[Education PiN]]</f>
        <v>0</v>
      </c>
      <c r="AL4" s="59">
        <f>Table1345[[#This Row],[Nutrition PiN]]</f>
        <v>114.93581403392679</v>
      </c>
      <c r="AM4" s="59">
        <f>Table1345[[#This Row],[WASH_PiN]]</f>
        <v>0</v>
      </c>
      <c r="AN4" s="59" t="str">
        <f>Table1345[[#This Row],[Health PiN]]</f>
        <v xml:space="preserve"> </v>
      </c>
      <c r="AO4" s="59">
        <f>Table1345[[#This Row],[Protection/GBV PiN]]</f>
        <v>134.72734702745535</v>
      </c>
      <c r="AP4" s="59">
        <f>Table1345[[#This Row],[CP_PiN]]</f>
        <v>0</v>
      </c>
      <c r="AQ4" s="59">
        <f>Table1345[[#This Row],[Shelter/NFIs PiN]]</f>
        <v>0</v>
      </c>
      <c r="AR4" s="59">
        <f>Table1345[[#This Row],[CCCM_PiN]]</f>
        <v>0</v>
      </c>
      <c r="AT4" s="79">
        <f>Table136[[#This Row],[Overall Intersectorial Final PiN]]-(Table8[[#This Row],[IDPs]]+Table8[[#This Row],[Returnee Migrants]]+Table8[[#This Row],[Refugees]])</f>
        <v>451.94184201219275</v>
      </c>
      <c r="AU4" s="66">
        <f>'Baseline_2020 Population Proj'!L3</f>
        <v>0</v>
      </c>
      <c r="AV4" s="66">
        <f>'Baseline_2020 Population Proj'!O3</f>
        <v>0</v>
      </c>
      <c r="AW4" s="78">
        <f>'Baseline_2020 Population Proj'!R3</f>
        <v>0</v>
      </c>
      <c r="AY4" s="59">
        <v>0</v>
      </c>
      <c r="BA4" s="66">
        <f>MAX(Table136[[#This Row],[IPC 4]],Table136[[#This Row],[SAM]],Table136[[#This Row],[Gap]])</f>
        <v>2.1537521909060158</v>
      </c>
      <c r="BB4" s="79">
        <f>Table136[[#This Row],[Overall Intersectorial Final PiN]]-BA4</f>
        <v>449.78808982128675</v>
      </c>
      <c r="BC4" s="62">
        <f>Table136[[#This Row],[Overall Intersectorial Final PiN]]*0.07</f>
        <v>31.635928940853496</v>
      </c>
    </row>
    <row r="5" spans="1:55" x14ac:dyDescent="0.2">
      <c r="A5" s="223" t="s">
        <v>84</v>
      </c>
      <c r="B5" s="223" t="s">
        <v>85</v>
      </c>
      <c r="C5" s="223" t="s">
        <v>517</v>
      </c>
      <c r="D5" s="209">
        <f>'Baseline_2020 Population Proj'!C4</f>
        <v>472473.17431040556</v>
      </c>
      <c r="E5" s="209"/>
      <c r="F5" s="206"/>
      <c r="G5" s="52"/>
      <c r="H5" s="52">
        <v>52608.31322210317</v>
      </c>
      <c r="I5" s="52"/>
      <c r="J5" s="52"/>
      <c r="K5" s="52">
        <v>64331.195153758483</v>
      </c>
      <c r="L5" s="52">
        <v>987</v>
      </c>
      <c r="M5" s="52">
        <v>51001</v>
      </c>
      <c r="N5" s="52"/>
      <c r="O5" s="52"/>
      <c r="P5" s="52">
        <v>206218.35093641083</v>
      </c>
      <c r="Q5" s="51">
        <v>64691.194816000003</v>
      </c>
      <c r="R5" s="52">
        <v>44242.755048320003</v>
      </c>
      <c r="S5" s="52">
        <v>78373.850154610074</v>
      </c>
      <c r="T5" s="74">
        <v>2967.7499999999995</v>
      </c>
      <c r="U5" s="74">
        <v>141741.95229312166</v>
      </c>
      <c r="V5" s="52"/>
      <c r="W5" s="52">
        <v>859.90117724493825</v>
      </c>
      <c r="X5" s="52">
        <v>595.31619963111098</v>
      </c>
      <c r="Y5" s="52">
        <v>49420.694032868429</v>
      </c>
      <c r="Z5" s="52"/>
      <c r="AA5" s="52"/>
      <c r="AB5" s="66">
        <v>0</v>
      </c>
      <c r="AC5" s="52">
        <v>0</v>
      </c>
      <c r="AD5" s="52">
        <v>0</v>
      </c>
      <c r="AE5" s="52">
        <v>0</v>
      </c>
      <c r="AF5" s="52">
        <v>0</v>
      </c>
      <c r="AG5" s="84"/>
      <c r="AH5"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206218.35093641083</v>
      </c>
      <c r="AJ5" s="59">
        <f>Table1345[[#This Row],[FSC PiN]]</f>
        <v>206218.35093641083</v>
      </c>
      <c r="AK5" s="59">
        <f>Table1345[[#This Row],[Education PiN]]</f>
        <v>64331.195153758483</v>
      </c>
      <c r="AL5" s="59">
        <f>Table1345[[#This Row],[Nutrition PiN]]</f>
        <v>49420.694032868429</v>
      </c>
      <c r="AM5" s="59">
        <f>Table1345[[#This Row],[WASH_PiN]]</f>
        <v>61421.512660352724</v>
      </c>
      <c r="AN5" s="59">
        <f>Table1345[[#This Row],[Health PiN]]</f>
        <v>141741.95229312166</v>
      </c>
      <c r="AO5" s="59">
        <f>Table1345[[#This Row],[Protection/GBV PiN]]</f>
        <v>63762.3337551562</v>
      </c>
      <c r="AP5" s="59">
        <f>Table1345[[#This Row],[CP_PiN]]</f>
        <v>52608.31322210317</v>
      </c>
      <c r="AQ5" s="59">
        <f>Table1345[[#This Row],[Shelter/NFIs PiN]]</f>
        <v>0</v>
      </c>
      <c r="AR5" s="59">
        <f>Table1345[[#This Row],[CCCM_PiN]]</f>
        <v>0</v>
      </c>
      <c r="AT5" s="79">
        <f>Table136[[#This Row],[Overall Intersectorial Final PiN]]-(Table8[[#This Row],[IDPs]]+Table8[[#This Row],[Returnee Migrants]]+Table8[[#This Row],[Refugees]])</f>
        <v>206218.35093641083</v>
      </c>
      <c r="AU5" s="66">
        <f>'Baseline_2020 Population Proj'!L4</f>
        <v>0</v>
      </c>
      <c r="AV5" s="66">
        <f>'Baseline_2020 Population Proj'!O4</f>
        <v>0</v>
      </c>
      <c r="AW5" s="78">
        <f>'Baseline_2020 Population Proj'!R4</f>
        <v>0</v>
      </c>
      <c r="AY5" s="59">
        <v>0</v>
      </c>
      <c r="BA5" s="66">
        <f>MAX(Table136[[#This Row],[IPC 4]],Table136[[#This Row],[SAM]],Table136[[#This Row],[Gap]])</f>
        <v>2967.7499999999995</v>
      </c>
      <c r="BB5" s="79">
        <f>Table136[[#This Row],[Overall Intersectorial Final PiN]]-BA5</f>
        <v>203250.60093641083</v>
      </c>
      <c r="BC5" s="62">
        <f>Table136[[#This Row],[Overall Intersectorial Final PiN]]*0.07</f>
        <v>14435.28456554876</v>
      </c>
    </row>
    <row r="6" spans="1:55" x14ac:dyDescent="0.2">
      <c r="A6" s="223" t="s">
        <v>84</v>
      </c>
      <c r="B6" s="223" t="s">
        <v>86</v>
      </c>
      <c r="C6" s="223" t="s">
        <v>517</v>
      </c>
      <c r="D6" s="209">
        <f>'Baseline_2020 Population Proj'!C5</f>
        <v>221727.67267225965</v>
      </c>
      <c r="E6" s="209"/>
      <c r="F6" s="206"/>
      <c r="G6" s="52"/>
      <c r="H6" s="52"/>
      <c r="I6" s="52"/>
      <c r="J6" s="52"/>
      <c r="K6" s="52"/>
      <c r="L6" s="52"/>
      <c r="M6" s="52"/>
      <c r="N6" s="52"/>
      <c r="O6" s="52"/>
      <c r="P6" s="52">
        <v>96776.531455311138</v>
      </c>
      <c r="Q6" s="51">
        <v>23171.0509236</v>
      </c>
      <c r="R6" s="52">
        <v>9268.4203694400003</v>
      </c>
      <c r="S6" s="52">
        <v>46811.146254567451</v>
      </c>
      <c r="T6" s="74">
        <v>453.60000000000014</v>
      </c>
      <c r="U6" s="74">
        <v>110863.83633612983</v>
      </c>
      <c r="V6" s="52"/>
      <c r="W6" s="52">
        <v>310.41874174116356</v>
      </c>
      <c r="X6" s="52">
        <v>745.00498017879249</v>
      </c>
      <c r="Y6" s="52">
        <v>24789.153804758633</v>
      </c>
      <c r="Z6" s="52"/>
      <c r="AA6" s="52"/>
      <c r="AB6" s="66">
        <v>0</v>
      </c>
      <c r="AC6" s="52">
        <v>0</v>
      </c>
      <c r="AD6" s="52">
        <v>0</v>
      </c>
      <c r="AE6" s="52">
        <v>0</v>
      </c>
      <c r="AF6" s="52">
        <v>0</v>
      </c>
      <c r="AG6" s="84"/>
      <c r="AH6"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110863.83633612983</v>
      </c>
      <c r="AJ6" s="59">
        <f>Table1345[[#This Row],[FSC PiN]]</f>
        <v>96776.531455311138</v>
      </c>
      <c r="AK6" s="59">
        <f>Table1345[[#This Row],[Education PiN]]</f>
        <v>0</v>
      </c>
      <c r="AL6" s="59">
        <f>Table1345[[#This Row],[Nutrition PiN]]</f>
        <v>24789.153804758633</v>
      </c>
      <c r="AM6" s="59">
        <f>Table1345[[#This Row],[WASH_PiN]]</f>
        <v>55431.918168064913</v>
      </c>
      <c r="AN6" s="59">
        <f>Table1345[[#This Row],[Health PiN]]</f>
        <v>110863.83633612983</v>
      </c>
      <c r="AO6" s="59">
        <f>Table1345[[#This Row],[Protection/GBV PiN]]</f>
        <v>29923.125028881197</v>
      </c>
      <c r="AP6" s="59">
        <f>Table1345[[#This Row],[CP_PiN]]</f>
        <v>0</v>
      </c>
      <c r="AQ6" s="59">
        <f>Table1345[[#This Row],[Shelter/NFIs PiN]]</f>
        <v>0</v>
      </c>
      <c r="AR6" s="59">
        <f>Table1345[[#This Row],[CCCM_PiN]]</f>
        <v>0</v>
      </c>
      <c r="AT6" s="79">
        <f>Table136[[#This Row],[Overall Intersectorial Final PiN]]-(Table8[[#This Row],[IDPs]]+Table8[[#This Row],[Returnee Migrants]]+Table8[[#This Row],[Refugees]])</f>
        <v>110863.83633612983</v>
      </c>
      <c r="AU6" s="66">
        <f>'Baseline_2020 Population Proj'!L5</f>
        <v>0</v>
      </c>
      <c r="AV6" s="66">
        <f>'Baseline_2020 Population Proj'!O5</f>
        <v>0</v>
      </c>
      <c r="AW6" s="78">
        <f>'Baseline_2020 Population Proj'!R5</f>
        <v>0</v>
      </c>
      <c r="AY6" s="59">
        <v>19220</v>
      </c>
      <c r="BA6" s="66">
        <f>MAX(Table136[[#This Row],[IPC 4]],Table136[[#This Row],[SAM]],Table136[[#This Row],[Gap]])</f>
        <v>453.60000000000014</v>
      </c>
      <c r="BB6" s="79">
        <f>Table136[[#This Row],[Overall Intersectorial Final PiN]]-BA6</f>
        <v>110410.23633612982</v>
      </c>
      <c r="BC6" s="62">
        <f>Table136[[#This Row],[Overall Intersectorial Final PiN]]*0.07</f>
        <v>7760.4685435290885</v>
      </c>
    </row>
    <row r="7" spans="1:55" x14ac:dyDescent="0.2">
      <c r="A7" s="223" t="s">
        <v>84</v>
      </c>
      <c r="B7" s="223" t="s">
        <v>84</v>
      </c>
      <c r="C7" s="223" t="s">
        <v>517</v>
      </c>
      <c r="D7" s="209">
        <f>'Baseline_2020 Population Proj'!C6</f>
        <v>1966516.6605599653</v>
      </c>
      <c r="E7" s="209"/>
      <c r="F7" s="206"/>
      <c r="G7" s="52"/>
      <c r="H7" s="52">
        <v>157109.96494422876</v>
      </c>
      <c r="I7" s="52"/>
      <c r="J7" s="52"/>
      <c r="K7" s="52">
        <v>308205.79945300322</v>
      </c>
      <c r="L7" s="52">
        <v>916</v>
      </c>
      <c r="M7" s="52">
        <v>239082</v>
      </c>
      <c r="N7" s="52"/>
      <c r="O7" s="52"/>
      <c r="P7" s="52">
        <v>858317.13815613836</v>
      </c>
      <c r="Q7" s="51">
        <v>208287.78078239999</v>
      </c>
      <c r="R7" s="52">
        <v>83315.112312960002</v>
      </c>
      <c r="S7" s="52">
        <v>326205</v>
      </c>
      <c r="T7" s="74">
        <v>4536</v>
      </c>
      <c r="U7" s="74"/>
      <c r="V7" s="52">
        <v>86526.73306463848</v>
      </c>
      <c r="W7" s="52">
        <v>2753.1233247839514</v>
      </c>
      <c r="X7" s="52">
        <v>5230.9343170895081</v>
      </c>
      <c r="Y7" s="52">
        <v>205697.64269457239</v>
      </c>
      <c r="Z7" s="52"/>
      <c r="AA7" s="52"/>
      <c r="AB7" s="66">
        <v>0</v>
      </c>
      <c r="AC7" s="52">
        <v>0</v>
      </c>
      <c r="AD7" s="52">
        <v>25.698999999999998</v>
      </c>
      <c r="AE7" s="52">
        <v>829</v>
      </c>
      <c r="AF7" s="52">
        <v>0</v>
      </c>
      <c r="AG7" s="84"/>
      <c r="AH7"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858317.13815613836</v>
      </c>
      <c r="AJ7" s="59">
        <f>Table1345[[#This Row],[FSC PiN]]</f>
        <v>858317.13815613836</v>
      </c>
      <c r="AK7" s="59">
        <f>Table1345[[#This Row],[Education PiN]]</f>
        <v>308205.79945300322</v>
      </c>
      <c r="AL7" s="59">
        <f>Table1345[[#This Row],[Nutrition PiN]]</f>
        <v>205697.64269457239</v>
      </c>
      <c r="AM7" s="59">
        <f>Table1345[[#This Row],[WASH_PiN]]</f>
        <v>255647.16587279551</v>
      </c>
      <c r="AN7" s="59">
        <f>Table1345[[#This Row],[Health PiN]]</f>
        <v>326205</v>
      </c>
      <c r="AO7" s="59">
        <f>Table1345[[#This Row],[Protection/GBV PiN]]</f>
        <v>265390.07601587381</v>
      </c>
      <c r="AP7" s="59">
        <f>Table1345[[#This Row],[CP_PiN]]</f>
        <v>157109.96494422876</v>
      </c>
      <c r="AQ7" s="59">
        <f>Table1345[[#This Row],[Shelter/NFIs PiN]]</f>
        <v>0</v>
      </c>
      <c r="AR7" s="59">
        <f>Table1345[[#This Row],[CCCM_PiN]]</f>
        <v>0</v>
      </c>
      <c r="AT7" s="79">
        <f>Table136[[#This Row],[Overall Intersectorial Final PiN]]-(Table8[[#This Row],[IDPs]]+Table8[[#This Row],[Returnee Migrants]]+Table8[[#This Row],[Refugees]])</f>
        <v>857488.13815613836</v>
      </c>
      <c r="AU7" s="66">
        <f>'Baseline_2020 Population Proj'!L6</f>
        <v>0</v>
      </c>
      <c r="AV7" s="66">
        <v>0</v>
      </c>
      <c r="AW7" s="66">
        <f>'Baseline_2020 Population Proj'!R6</f>
        <v>829</v>
      </c>
      <c r="AY7" s="59">
        <v>12000</v>
      </c>
      <c r="BA7" s="66">
        <f>MAX(Table136[[#This Row],[IPC 4]],Table136[[#This Row],[SAM]],Table136[[#This Row],[Gap]])</f>
        <v>4536</v>
      </c>
      <c r="BB7" s="79">
        <f>Table136[[#This Row],[Overall Intersectorial Final PiN]]-BA7</f>
        <v>853781.13815613836</v>
      </c>
      <c r="BC7" s="62">
        <f>Table136[[#This Row],[Overall Intersectorial Final PiN]]*0.07</f>
        <v>60082.199670929695</v>
      </c>
    </row>
    <row r="8" spans="1:55" x14ac:dyDescent="0.2">
      <c r="A8" s="223" t="s">
        <v>84</v>
      </c>
      <c r="B8" s="223" t="s">
        <v>87</v>
      </c>
      <c r="C8" s="223" t="s">
        <v>517</v>
      </c>
      <c r="D8" s="209">
        <f>'Baseline_2020 Population Proj'!C7</f>
        <v>150410.49245736958</v>
      </c>
      <c r="E8" s="209"/>
      <c r="F8" s="206"/>
      <c r="G8" s="52"/>
      <c r="H8" s="52"/>
      <c r="I8" s="52"/>
      <c r="J8" s="52"/>
      <c r="K8" s="52"/>
      <c r="L8" s="52"/>
      <c r="M8" s="52"/>
      <c r="N8" s="52"/>
      <c r="O8" s="52"/>
      <c r="P8" s="52">
        <v>65649.026028543129</v>
      </c>
      <c r="Q8" s="51">
        <v>15772.6403004</v>
      </c>
      <c r="R8" s="52">
        <v>8323.8557361599997</v>
      </c>
      <c r="S8" s="52">
        <v>31754.663167599858</v>
      </c>
      <c r="T8" s="74">
        <v>302.40000000000009</v>
      </c>
      <c r="U8" s="74">
        <v>45123.147737210871</v>
      </c>
      <c r="V8" s="52">
        <v>6618.0616681242618</v>
      </c>
      <c r="W8" s="52">
        <v>345.20440891855316</v>
      </c>
      <c r="X8" s="52">
        <v>97.002438906113468</v>
      </c>
      <c r="Y8" s="52">
        <v>15732.937511040858</v>
      </c>
      <c r="Z8" s="52"/>
      <c r="AA8" s="52"/>
      <c r="AB8" s="66">
        <v>0</v>
      </c>
      <c r="AC8" s="52">
        <v>0</v>
      </c>
      <c r="AD8" s="52">
        <v>0</v>
      </c>
      <c r="AE8" s="52">
        <v>0</v>
      </c>
      <c r="AF8" s="52">
        <v>0</v>
      </c>
      <c r="AG8" s="84"/>
      <c r="AH8"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65649.026028543129</v>
      </c>
      <c r="AJ8" s="59">
        <f>Table1345[[#This Row],[FSC PiN]]</f>
        <v>65649.026028543129</v>
      </c>
      <c r="AK8" s="59">
        <f>Table1345[[#This Row],[Education PiN]]</f>
        <v>0</v>
      </c>
      <c r="AL8" s="59">
        <f>Table1345[[#This Row],[Nutrition PiN]]</f>
        <v>15732.937511040858</v>
      </c>
      <c r="AM8" s="59">
        <f>Table1345[[#This Row],[WASH_PiN]]</f>
        <v>19553.364019458044</v>
      </c>
      <c r="AN8" s="59">
        <f>Table1345[[#This Row],[Health PiN]]</f>
        <v>45123.147737210871</v>
      </c>
      <c r="AO8" s="59">
        <f>Table1345[[#This Row],[Protection/GBV PiN]]</f>
        <v>20298.557763288834</v>
      </c>
      <c r="AP8" s="59">
        <f>Table1345[[#This Row],[CP_PiN]]</f>
        <v>0</v>
      </c>
      <c r="AQ8" s="59">
        <f>Table1345[[#This Row],[Shelter/NFIs PiN]]</f>
        <v>0</v>
      </c>
      <c r="AR8" s="59">
        <f>Table1345[[#This Row],[CCCM_PiN]]</f>
        <v>0</v>
      </c>
      <c r="AT8" s="79">
        <f>Table136[[#This Row],[Overall Intersectorial Final PiN]]-(Table8[[#This Row],[IDPs]]+Table8[[#This Row],[Returnee Migrants]]+Table8[[#This Row],[Refugees]])</f>
        <v>65649.026028543129</v>
      </c>
      <c r="AU8" s="66">
        <f>'Baseline_2020 Population Proj'!L7</f>
        <v>0</v>
      </c>
      <c r="AV8" s="66">
        <f>'Baseline_2020 Population Proj'!O7</f>
        <v>0</v>
      </c>
      <c r="AW8" s="66">
        <f>'Baseline_2020 Population Proj'!R7</f>
        <v>0</v>
      </c>
      <c r="AY8" s="59">
        <v>23000</v>
      </c>
      <c r="BA8" s="66">
        <f>MAX(Table136[[#This Row],[IPC 4]],Table136[[#This Row],[SAM]],Table136[[#This Row],[Gap]])</f>
        <v>345.20440891855316</v>
      </c>
      <c r="BB8" s="79">
        <f>Table136[[#This Row],[Overall Intersectorial Final PiN]]-BA8</f>
        <v>65303.821619624578</v>
      </c>
      <c r="BC8" s="62">
        <f>Table136[[#This Row],[Overall Intersectorial Final PiN]]*0.07</f>
        <v>4595.4318219980196</v>
      </c>
    </row>
    <row r="9" spans="1:55" x14ac:dyDescent="0.2">
      <c r="A9" s="223" t="s">
        <v>6</v>
      </c>
      <c r="B9" s="223" t="s">
        <v>7</v>
      </c>
      <c r="C9" s="223" t="s">
        <v>518</v>
      </c>
      <c r="D9" s="209">
        <f>'Baseline_2020 Population Proj'!C8</f>
        <v>287264.58794954978</v>
      </c>
      <c r="E9" s="209">
        <v>268913</v>
      </c>
      <c r="F9" s="206"/>
      <c r="G9" s="52"/>
      <c r="H9" s="52"/>
      <c r="I9" s="52">
        <v>36160.818487733326</v>
      </c>
      <c r="J9" s="52">
        <v>36292.93693306666</v>
      </c>
      <c r="K9" s="52">
        <v>19453.800778569665</v>
      </c>
      <c r="L9" s="52">
        <v>2135</v>
      </c>
      <c r="M9" s="52">
        <v>13878</v>
      </c>
      <c r="N9" s="52">
        <v>107565</v>
      </c>
      <c r="O9" s="52">
        <v>40337</v>
      </c>
      <c r="P9" s="52">
        <v>147902</v>
      </c>
      <c r="Q9" s="51">
        <v>34927.365844799999</v>
      </c>
      <c r="R9" s="52">
        <v>26821.280471040001</v>
      </c>
      <c r="S9" s="52">
        <v>36844.556050409257</v>
      </c>
      <c r="T9" s="74">
        <v>1804.5</v>
      </c>
      <c r="U9" s="74">
        <v>143632.29397477489</v>
      </c>
      <c r="V9" s="52"/>
      <c r="W9" s="52">
        <v>370.66398445103198</v>
      </c>
      <c r="X9" s="52">
        <v>778.3943673471673</v>
      </c>
      <c r="Y9" s="52">
        <v>33035.427614198226</v>
      </c>
      <c r="Z9" s="52">
        <v>9385</v>
      </c>
      <c r="AA9" s="52">
        <v>17845</v>
      </c>
      <c r="AB9" s="66">
        <v>109160.54342082892</v>
      </c>
      <c r="AC9" s="52">
        <v>91924.668143855932</v>
      </c>
      <c r="AD9" s="52">
        <v>0</v>
      </c>
      <c r="AE9" s="52">
        <v>0</v>
      </c>
      <c r="AF9" s="52">
        <v>0</v>
      </c>
      <c r="AG9" s="84"/>
      <c r="AH9"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147902</v>
      </c>
      <c r="AJ9" s="59">
        <f>Table1345[[#This Row],[FSC PiN]]</f>
        <v>147902</v>
      </c>
      <c r="AK9" s="59">
        <f>Table1345[[#This Row],[Education PiN]]</f>
        <v>0</v>
      </c>
      <c r="AL9" s="59">
        <f>Table1345[[#This Row],[Nutrition PiN]]</f>
        <v>66070.855228396453</v>
      </c>
      <c r="AM9" s="59">
        <f>Table1345[[#This Row],[WASH_PiN]]</f>
        <v>91924.668143855932</v>
      </c>
      <c r="AN9" s="59">
        <f>Table1345[[#This Row],[Health PiN]]</f>
        <v>143632.29397477489</v>
      </c>
      <c r="AO9" s="59">
        <f>Table1345[[#This Row],[Protection/GBV PiN]]</f>
        <v>36309.899199317551</v>
      </c>
      <c r="AP9" s="59">
        <f>Table1345[[#This Row],[CP_PiN]]</f>
        <v>36292.93693306666</v>
      </c>
      <c r="AQ9" s="59">
        <f>Table1345[[#This Row],[Shelter/NFIs PiN]]</f>
        <v>17845</v>
      </c>
      <c r="AR9" s="59">
        <f>Table1345[[#This Row],[CCCM_PiN]]</f>
        <v>0</v>
      </c>
      <c r="AT9" s="79">
        <f>Table136[[#This Row],[Overall Intersectorial Final PiN]]-(Table8[[#This Row],[IDPs]]+Table8[[#This Row],[Returnee Migrants]]+Table8[[#This Row],[Refugees]])</f>
        <v>147902</v>
      </c>
      <c r="AU9" s="66">
        <v>0</v>
      </c>
      <c r="AV9" s="66">
        <f>'Baseline_2020 Population Proj'!O8</f>
        <v>0</v>
      </c>
      <c r="AW9" s="66">
        <f>'Baseline_2020 Population Proj'!R8</f>
        <v>0</v>
      </c>
      <c r="AY9" s="59">
        <v>83852</v>
      </c>
      <c r="BA9" s="66">
        <f>MAX(Table136[[#This Row],[IPC 4]],Table136[[#This Row],[SAM]],Table136[[#This Row],[Gap]])</f>
        <v>40337</v>
      </c>
      <c r="BB9" s="79">
        <f>Table136[[#This Row],[Overall Intersectorial Final PiN]]-BA9</f>
        <v>107565</v>
      </c>
      <c r="BC9" s="62">
        <f>Table136[[#This Row],[Overall Intersectorial Final PiN]]*0.07</f>
        <v>10353.140000000001</v>
      </c>
    </row>
    <row r="10" spans="1:55" x14ac:dyDescent="0.2">
      <c r="A10" s="223" t="s">
        <v>6</v>
      </c>
      <c r="B10" s="223" t="s">
        <v>8</v>
      </c>
      <c r="C10" s="223" t="s">
        <v>518</v>
      </c>
      <c r="D10" s="209">
        <f>'Baseline_2020 Population Proj'!C9</f>
        <v>157653.32196419462</v>
      </c>
      <c r="E10" s="209">
        <v>147582</v>
      </c>
      <c r="F10" s="206">
        <v>732</v>
      </c>
      <c r="G10" s="52">
        <v>732</v>
      </c>
      <c r="H10" s="52"/>
      <c r="I10" s="52"/>
      <c r="J10" s="52"/>
      <c r="K10" s="52">
        <v>12576.423696469667</v>
      </c>
      <c r="L10" s="52">
        <v>4468</v>
      </c>
      <c r="M10" s="52"/>
      <c r="N10" s="52">
        <v>44275</v>
      </c>
      <c r="O10" s="52">
        <v>14758</v>
      </c>
      <c r="P10" s="52">
        <v>59033</v>
      </c>
      <c r="Q10" s="51">
        <v>23224.480738000002</v>
      </c>
      <c r="R10" s="52">
        <v>16024.891709220001</v>
      </c>
      <c r="S10" s="52">
        <v>38152.103915335101</v>
      </c>
      <c r="T10" s="74">
        <v>1049.3999999999999</v>
      </c>
      <c r="U10" s="74">
        <v>47295.996589258386</v>
      </c>
      <c r="V10" s="52"/>
      <c r="W10" s="52">
        <v>554.38530800595913</v>
      </c>
      <c r="X10" s="52">
        <v>51.003448336548217</v>
      </c>
      <c r="Y10" s="52">
        <v>17411.232877725655</v>
      </c>
      <c r="Z10" s="52">
        <v>5590</v>
      </c>
      <c r="AA10" s="52">
        <v>12080</v>
      </c>
      <c r="AB10" s="66">
        <v>0</v>
      </c>
      <c r="AC10" s="52">
        <v>0</v>
      </c>
      <c r="AD10" s="52">
        <v>0</v>
      </c>
      <c r="AE10" s="52">
        <v>0</v>
      </c>
      <c r="AF10" s="52">
        <v>0</v>
      </c>
      <c r="AG10" s="84"/>
      <c r="AH10"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59033</v>
      </c>
      <c r="AJ10" s="59">
        <f>Table1345[[#This Row],[FSC PiN]]</f>
        <v>59033</v>
      </c>
      <c r="AK10" s="59">
        <f>Table1345[[#This Row],[Education PiN]]</f>
        <v>0</v>
      </c>
      <c r="AL10" s="59">
        <f>Table1345[[#This Row],[Nutrition PiN]]</f>
        <v>17411.232877725655</v>
      </c>
      <c r="AM10" s="59">
        <f>Table1345[[#This Row],[WASH_PiN]]</f>
        <v>0</v>
      </c>
      <c r="AN10" s="59">
        <f>Table1345[[#This Row],[Health PiN]]</f>
        <v>47295.996589258386</v>
      </c>
      <c r="AO10" s="59">
        <f>Table1345[[#This Row],[Protection/GBV PiN]]</f>
        <v>33261.697868005787</v>
      </c>
      <c r="AP10" s="59">
        <f>Table1345[[#This Row],[CP_PiN]]</f>
        <v>0</v>
      </c>
      <c r="AQ10" s="59">
        <f>Table1345[[#This Row],[Shelter/NFIs PiN]]</f>
        <v>12080</v>
      </c>
      <c r="AR10" s="59">
        <f>Table1345[[#This Row],[CCCM_PiN]]</f>
        <v>732</v>
      </c>
      <c r="AT10" s="79">
        <f>Table136[[#This Row],[Overall Intersectorial Final PiN]]-(Table8[[#This Row],[IDPs]]+Table8[[#This Row],[Returnee Migrants]]+Table8[[#This Row],[Refugees]])</f>
        <v>57433</v>
      </c>
      <c r="AU10" s="66">
        <v>1600</v>
      </c>
      <c r="AV10" s="66">
        <f>'Baseline_2020 Population Proj'!O9</f>
        <v>0</v>
      </c>
      <c r="AW10" s="66">
        <f>'Baseline_2020 Population Proj'!R9</f>
        <v>0</v>
      </c>
      <c r="AY10" s="59">
        <v>87542</v>
      </c>
      <c r="BA10" s="66">
        <f>MAX(Table136[[#This Row],[IPC 4]],Table136[[#This Row],[SAM]],Table136[[#This Row],[Gap]])</f>
        <v>14758</v>
      </c>
      <c r="BB10" s="79">
        <f>Table136[[#This Row],[Overall Intersectorial Final PiN]]-BA10</f>
        <v>44275</v>
      </c>
      <c r="BC10" s="62">
        <f>Table136[[#This Row],[Overall Intersectorial Final PiN]]*0.07</f>
        <v>4132.3100000000004</v>
      </c>
    </row>
    <row r="11" spans="1:55" x14ac:dyDescent="0.2">
      <c r="A11" s="223" t="s">
        <v>6</v>
      </c>
      <c r="B11" s="223" t="s">
        <v>89</v>
      </c>
      <c r="C11" s="223" t="s">
        <v>518</v>
      </c>
      <c r="D11" s="209">
        <f>'Baseline_2020 Population Proj'!C10</f>
        <v>349142.40691493911</v>
      </c>
      <c r="E11" s="209">
        <v>326838</v>
      </c>
      <c r="F11" s="206"/>
      <c r="G11" s="52"/>
      <c r="H11" s="52"/>
      <c r="I11" s="52"/>
      <c r="J11" s="52"/>
      <c r="K11" s="52">
        <v>22056.091100102465</v>
      </c>
      <c r="L11" s="52">
        <v>28378</v>
      </c>
      <c r="M11" s="52">
        <v>67641</v>
      </c>
      <c r="N11" s="52">
        <v>114393</v>
      </c>
      <c r="O11" s="52">
        <v>32684</v>
      </c>
      <c r="P11" s="52">
        <v>147077</v>
      </c>
      <c r="Q11" s="51">
        <v>52265.662248799999</v>
      </c>
      <c r="R11" s="52">
        <v>36063.306951671999</v>
      </c>
      <c r="S11" s="52">
        <v>107535.86132980125</v>
      </c>
      <c r="T11" s="74">
        <v>1038</v>
      </c>
      <c r="U11" s="74">
        <v>104742.72207448173</v>
      </c>
      <c r="V11" s="52"/>
      <c r="W11" s="52">
        <v>1228.9812723405855</v>
      </c>
      <c r="X11" s="52">
        <v>0</v>
      </c>
      <c r="Y11" s="52">
        <v>40151.376795217999</v>
      </c>
      <c r="Z11" s="52">
        <v>6435</v>
      </c>
      <c r="AA11" s="52">
        <v>26170</v>
      </c>
      <c r="AB11" s="66">
        <v>0</v>
      </c>
      <c r="AC11" s="52">
        <v>0</v>
      </c>
      <c r="AD11" s="52">
        <v>6223.9520000000002</v>
      </c>
      <c r="AE11" s="52">
        <v>14576</v>
      </c>
      <c r="AF11" s="52">
        <v>4372.8</v>
      </c>
      <c r="AG11" s="84"/>
      <c r="AH11"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147077</v>
      </c>
      <c r="AJ11" s="59">
        <f>Table1345[[#This Row],[FSC PiN]]</f>
        <v>147077</v>
      </c>
      <c r="AK11" s="59">
        <f>Table1345[[#This Row],[Education PiN]]</f>
        <v>0</v>
      </c>
      <c r="AL11" s="59">
        <f>Table1345[[#This Row],[Nutrition PiN]]</f>
        <v>80302.753590435997</v>
      </c>
      <c r="AM11" s="59">
        <f>Table1345[[#This Row],[WASH_PiN]]</f>
        <v>34914.240691493913</v>
      </c>
      <c r="AN11" s="59">
        <f>Table1345[[#This Row],[Health PiN]]</f>
        <v>107535.86132980125</v>
      </c>
      <c r="AO11" s="59">
        <f>Table1345[[#This Row],[Protection/GBV PiN]]</f>
        <v>73662.065010913866</v>
      </c>
      <c r="AP11" s="59">
        <f>Table1345[[#This Row],[CP_PiN]]</f>
        <v>0</v>
      </c>
      <c r="AQ11" s="59">
        <f>Table1345[[#This Row],[Shelter/NFIs PiN]]</f>
        <v>26170</v>
      </c>
      <c r="AR11" s="59">
        <f>Table1345[[#This Row],[CCCM_PiN]]</f>
        <v>0</v>
      </c>
      <c r="AT11" s="79">
        <f>Table136[[#This Row],[Overall Intersectorial Final PiN]]-(Table8[[#This Row],[IDPs]]+Table8[[#This Row],[Returnee Migrants]]+Table8[[#This Row],[Refugees]])</f>
        <v>123450</v>
      </c>
      <c r="AU11" s="66">
        <v>8000</v>
      </c>
      <c r="AV11" s="66">
        <f>'Baseline_2020 Population Proj'!O10</f>
        <v>1051</v>
      </c>
      <c r="AW11" s="66">
        <f>'Baseline_2020 Population Proj'!R10</f>
        <v>14576</v>
      </c>
      <c r="AY11" s="59">
        <v>128833</v>
      </c>
      <c r="BA11" s="66">
        <f>MAX(Table136[[#This Row],[IPC 4]],Table136[[#This Row],[SAM]],Table136[[#This Row],[Gap]])</f>
        <v>32684</v>
      </c>
      <c r="BB11" s="79">
        <f>Table136[[#This Row],[Overall Intersectorial Final PiN]]-BA11</f>
        <v>114393</v>
      </c>
      <c r="BC11" s="62">
        <f>Table136[[#This Row],[Overall Intersectorial Final PiN]]*0.07</f>
        <v>10295.390000000001</v>
      </c>
    </row>
    <row r="12" spans="1:55" x14ac:dyDescent="0.2">
      <c r="A12" s="223" t="s">
        <v>6</v>
      </c>
      <c r="B12" s="223" t="s">
        <v>14</v>
      </c>
      <c r="C12" s="223" t="s">
        <v>517</v>
      </c>
      <c r="D12" s="209">
        <f>'Baseline_2020 Population Proj'!C11</f>
        <v>29549.190893125913</v>
      </c>
      <c r="E12" s="209"/>
      <c r="F12" s="206"/>
      <c r="G12" s="52"/>
      <c r="H12" s="52"/>
      <c r="I12" s="52"/>
      <c r="J12" s="52"/>
      <c r="K12" s="52"/>
      <c r="L12" s="52"/>
      <c r="M12" s="52"/>
      <c r="N12" s="52"/>
      <c r="O12" s="52"/>
      <c r="P12" s="52">
        <v>16744.541506104684</v>
      </c>
      <c r="Q12" s="51">
        <v>4449.2117724</v>
      </c>
      <c r="R12" s="52">
        <v>2843.4688333560002</v>
      </c>
      <c r="S12" s="52"/>
      <c r="T12" s="74">
        <v>3460</v>
      </c>
      <c r="U12" s="74">
        <v>8864.7572679377736</v>
      </c>
      <c r="V12" s="52"/>
      <c r="W12" s="52">
        <v>128.94192389727672</v>
      </c>
      <c r="X12" s="52">
        <v>74.356509447429573</v>
      </c>
      <c r="Y12" s="52">
        <v>3256.3208364224756</v>
      </c>
      <c r="Z12" s="52"/>
      <c r="AA12" s="52"/>
      <c r="AB12" s="66">
        <v>0</v>
      </c>
      <c r="AC12" s="52">
        <v>0</v>
      </c>
      <c r="AD12" s="52">
        <v>0</v>
      </c>
      <c r="AE12" s="52">
        <v>0</v>
      </c>
      <c r="AF12" s="52">
        <v>0</v>
      </c>
      <c r="AG12" s="84"/>
      <c r="AH12"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16744.541506104684</v>
      </c>
      <c r="AJ12" s="59">
        <f>Table1345[[#This Row],[FSC PiN]]</f>
        <v>16744.541506104684</v>
      </c>
      <c r="AK12" s="59">
        <f>Table1345[[#This Row],[Education PiN]]</f>
        <v>0</v>
      </c>
      <c r="AL12" s="59">
        <f>Table1345[[#This Row],[Nutrition PiN]]</f>
        <v>6512.6416728449512</v>
      </c>
      <c r="AM12" s="59">
        <f>Table1345[[#This Row],[WASH_PiN]]</f>
        <v>12927.771015742584</v>
      </c>
      <c r="AN12" s="59">
        <f>Table1345[[#This Row],[Health PiN]]</f>
        <v>0</v>
      </c>
      <c r="AO12" s="59">
        <f>Table1345[[#This Row],[Protection/GBV PiN]]</f>
        <v>6234.2882946317059</v>
      </c>
      <c r="AP12" s="59">
        <f>Table1345[[#This Row],[CP_PiN]]</f>
        <v>0</v>
      </c>
      <c r="AQ12" s="59">
        <f>Table1345[[#This Row],[Shelter/NFIs PiN]]</f>
        <v>0</v>
      </c>
      <c r="AR12" s="59">
        <f>Table1345[[#This Row],[CCCM_PiN]]</f>
        <v>0</v>
      </c>
      <c r="AT12" s="79">
        <f>Table136[[#This Row],[Overall Intersectorial Final PiN]]-(Table8[[#This Row],[IDPs]]+Table8[[#This Row],[Returnee Migrants]]+Table8[[#This Row],[Refugees]])</f>
        <v>16744.541506104684</v>
      </c>
      <c r="AU12" s="66">
        <f>'Baseline_2020 Population Proj'!L11</f>
        <v>0</v>
      </c>
      <c r="AV12" s="66">
        <f>'Baseline_2020 Population Proj'!O11</f>
        <v>0</v>
      </c>
      <c r="AW12" s="78">
        <f>'Baseline_2020 Population Proj'!R11</f>
        <v>0</v>
      </c>
      <c r="AY12" s="59">
        <v>0</v>
      </c>
      <c r="BA12" s="66">
        <f>MAX(Table136[[#This Row],[IPC 4]],Table136[[#This Row],[SAM]],Table136[[#This Row],[Gap]])</f>
        <v>3460</v>
      </c>
      <c r="BB12" s="79">
        <f>Table136[[#This Row],[Overall Intersectorial Final PiN]]-BA12</f>
        <v>13284.541506104684</v>
      </c>
      <c r="BC12" s="62">
        <f>Table136[[#This Row],[Overall Intersectorial Final PiN]]*0.07</f>
        <v>1172.117905427328</v>
      </c>
    </row>
    <row r="13" spans="1:55" x14ac:dyDescent="0.2">
      <c r="A13" s="223" t="s">
        <v>6</v>
      </c>
      <c r="B13" s="223" t="s">
        <v>9</v>
      </c>
      <c r="C13" s="223" t="s">
        <v>518</v>
      </c>
      <c r="D13" s="209">
        <f>'Baseline_2020 Population Proj'!C12</f>
        <v>318180.71516028431</v>
      </c>
      <c r="E13" s="209">
        <v>297854</v>
      </c>
      <c r="F13" s="206"/>
      <c r="G13" s="52"/>
      <c r="H13" s="52">
        <v>32272.653190823679</v>
      </c>
      <c r="I13" s="52"/>
      <c r="J13" s="52"/>
      <c r="K13" s="52">
        <v>35246.764905871751</v>
      </c>
      <c r="L13" s="52">
        <v>2328</v>
      </c>
      <c r="M13" s="52"/>
      <c r="N13" s="52">
        <v>74464</v>
      </c>
      <c r="O13" s="52">
        <v>14893</v>
      </c>
      <c r="P13" s="52">
        <v>89357</v>
      </c>
      <c r="Q13" s="51">
        <v>46443.7597752</v>
      </c>
      <c r="R13" s="52">
        <v>24448.010153543997</v>
      </c>
      <c r="S13" s="52">
        <v>84000</v>
      </c>
      <c r="T13" s="74">
        <v>990</v>
      </c>
      <c r="U13" s="74">
        <v>95454.214548085292</v>
      </c>
      <c r="V13" s="52"/>
      <c r="W13" s="52">
        <v>821.11152299428204</v>
      </c>
      <c r="X13" s="52">
        <v>1469.7896261597648</v>
      </c>
      <c r="Y13" s="52">
        <v>36590.782243432695</v>
      </c>
      <c r="Z13" s="52">
        <v>410</v>
      </c>
      <c r="AA13" s="52">
        <v>3760</v>
      </c>
      <c r="AB13" s="66">
        <v>0</v>
      </c>
      <c r="AC13" s="52">
        <v>0</v>
      </c>
      <c r="AD13" s="52">
        <v>0</v>
      </c>
      <c r="AE13" s="52">
        <v>0</v>
      </c>
      <c r="AF13" s="52">
        <v>0</v>
      </c>
      <c r="AG13" s="84"/>
      <c r="AH13"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95454.214548085292</v>
      </c>
      <c r="AJ13" s="59">
        <f>Table1345[[#This Row],[FSC PiN]]</f>
        <v>89357</v>
      </c>
      <c r="AK13" s="59">
        <f>Table1345[[#This Row],[Education PiN]]</f>
        <v>0</v>
      </c>
      <c r="AL13" s="59">
        <f>Table1345[[#This Row],[Nutrition PiN]]</f>
        <v>36590.782243432695</v>
      </c>
      <c r="AM13" s="59">
        <f>Table1345[[#This Row],[WASH_PiN]]</f>
        <v>0</v>
      </c>
      <c r="AN13" s="59">
        <f>Table1345[[#This Row],[Health PiN]]</f>
        <v>84000</v>
      </c>
      <c r="AO13" s="59">
        <f>Table1345[[#This Row],[Protection/GBV PiN]]</f>
        <v>67129.767284516798</v>
      </c>
      <c r="AP13" s="59">
        <f>Table1345[[#This Row],[CP_PiN]]</f>
        <v>32272.653190823679</v>
      </c>
      <c r="AQ13" s="59">
        <f>Table1345[[#This Row],[Shelter/NFIs PiN]]</f>
        <v>3760</v>
      </c>
      <c r="AR13" s="59">
        <f>Table1345[[#This Row],[CCCM_PiN]]</f>
        <v>0</v>
      </c>
      <c r="AT13" s="79">
        <f>Table136[[#This Row],[Overall Intersectorial Final PiN]]-(Table8[[#This Row],[IDPs]]+Table8[[#This Row],[Returnee Migrants]]+Table8[[#This Row],[Refugees]])</f>
        <v>95454.214548085292</v>
      </c>
      <c r="AU13" s="66">
        <v>0</v>
      </c>
      <c r="AV13" s="66">
        <f>'Baseline_2020 Population Proj'!O12</f>
        <v>0</v>
      </c>
      <c r="AW13" s="78">
        <f>'Baseline_2020 Population Proj'!R12</f>
        <v>0</v>
      </c>
      <c r="AY13" s="59">
        <v>50227</v>
      </c>
      <c r="BA13" s="66">
        <f>MAX(Table136[[#This Row],[IPC 4]],Table136[[#This Row],[SAM]],Table136[[#This Row],[Gap]])</f>
        <v>14893</v>
      </c>
      <c r="BB13" s="79">
        <f>Table136[[#This Row],[Overall Intersectorial Final PiN]]-BA13</f>
        <v>80561.214548085292</v>
      </c>
      <c r="BC13" s="62">
        <f>Table136[[#This Row],[Overall Intersectorial Final PiN]]*0.07</f>
        <v>6681.7950183659714</v>
      </c>
    </row>
    <row r="14" spans="1:55" x14ac:dyDescent="0.2">
      <c r="A14" s="223" t="s">
        <v>6</v>
      </c>
      <c r="B14" s="223" t="s">
        <v>88</v>
      </c>
      <c r="C14" s="223" t="s">
        <v>518</v>
      </c>
      <c r="D14" s="209">
        <f>'Baseline_2020 Population Proj'!C13</f>
        <v>306245.14129644696</v>
      </c>
      <c r="E14" s="209">
        <v>286681</v>
      </c>
      <c r="F14" s="206"/>
      <c r="G14" s="52"/>
      <c r="H14" s="52">
        <v>40479.451151234622</v>
      </c>
      <c r="I14" s="52">
        <v>41381.131431466667</v>
      </c>
      <c r="J14" s="52">
        <v>41521.979394133334</v>
      </c>
      <c r="K14" s="52">
        <v>45111.922680783035</v>
      </c>
      <c r="L14" s="52">
        <v>2261</v>
      </c>
      <c r="M14" s="52">
        <v>89342</v>
      </c>
      <c r="N14" s="52">
        <v>71670</v>
      </c>
      <c r="O14" s="52">
        <v>28668</v>
      </c>
      <c r="P14" s="52">
        <v>100338</v>
      </c>
      <c r="Q14" s="51">
        <v>45101.121701600001</v>
      </c>
      <c r="R14" s="52">
        <v>31119.773974103999</v>
      </c>
      <c r="S14" s="52">
        <v>74111.324193740162</v>
      </c>
      <c r="T14" s="74">
        <v>3069.45</v>
      </c>
      <c r="U14" s="74">
        <v>183747.08477786818</v>
      </c>
      <c r="V14" s="52">
        <v>17149.727912601029</v>
      </c>
      <c r="W14" s="52">
        <v>783.98756171890432</v>
      </c>
      <c r="X14" s="52">
        <v>391.99378085945204</v>
      </c>
      <c r="Y14" s="52">
        <v>34752.698634320805</v>
      </c>
      <c r="Z14" s="52">
        <v>1590</v>
      </c>
      <c r="AA14" s="52">
        <v>3080</v>
      </c>
      <c r="AB14" s="66">
        <v>0</v>
      </c>
      <c r="AC14" s="52">
        <v>0</v>
      </c>
      <c r="AD14" s="52">
        <v>0</v>
      </c>
      <c r="AE14" s="52">
        <v>0</v>
      </c>
      <c r="AF14" s="52">
        <v>0</v>
      </c>
      <c r="AG14" s="84"/>
      <c r="AH14"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183747.08477786818</v>
      </c>
      <c r="AJ14" s="59">
        <f>Table1345[[#This Row],[FSC PiN]]</f>
        <v>100338</v>
      </c>
      <c r="AK14" s="59">
        <f>Table1345[[#This Row],[Education PiN]]</f>
        <v>89342</v>
      </c>
      <c r="AL14" s="59">
        <f>Table1345[[#This Row],[Nutrition PiN]]</f>
        <v>34752.698634320805</v>
      </c>
      <c r="AM14" s="59">
        <f>Table1345[[#This Row],[WASH_PiN]]</f>
        <v>0</v>
      </c>
      <c r="AN14" s="59">
        <f>Table1345[[#This Row],[Health PiN]]</f>
        <v>183747.08477786818</v>
      </c>
      <c r="AO14" s="59">
        <f>Table1345[[#This Row],[Protection/GBV PiN]]</f>
        <v>64611.599910724377</v>
      </c>
      <c r="AP14" s="59">
        <f>Table1345[[#This Row],[CP_PiN]]</f>
        <v>41521.979394133334</v>
      </c>
      <c r="AQ14" s="59">
        <f>Table1345[[#This Row],[Shelter/NFIs PiN]]</f>
        <v>3080</v>
      </c>
      <c r="AR14" s="59">
        <f>Table1345[[#This Row],[CCCM_PiN]]</f>
        <v>0</v>
      </c>
      <c r="AT14" s="79">
        <f>Table136[[#This Row],[Overall Intersectorial Final PiN]]-(Table8[[#This Row],[IDPs]]+Table8[[#This Row],[Returnee Migrants]]+Table8[[#This Row],[Refugees]])</f>
        <v>183747.08477786818</v>
      </c>
      <c r="AU14" s="66">
        <v>0</v>
      </c>
      <c r="AV14" s="66">
        <f>'Baseline_2020 Population Proj'!O13</f>
        <v>0</v>
      </c>
      <c r="AW14" s="78">
        <f>'Baseline_2020 Population Proj'!R13</f>
        <v>0</v>
      </c>
      <c r="AY14" s="59">
        <v>191936</v>
      </c>
      <c r="BA14" s="66">
        <f>MAX(Table136[[#This Row],[IPC 4]],Table136[[#This Row],[SAM]],Table136[[#This Row],[Gap]])</f>
        <v>28668</v>
      </c>
      <c r="BB14" s="79">
        <f>Table136[[#This Row],[Overall Intersectorial Final PiN]]-BA14</f>
        <v>155079.08477786818</v>
      </c>
      <c r="BC14" s="62">
        <f>Table136[[#This Row],[Overall Intersectorial Final PiN]]*0.07</f>
        <v>12862.295934450774</v>
      </c>
    </row>
    <row r="15" spans="1:55" x14ac:dyDescent="0.2">
      <c r="A15" s="223" t="s">
        <v>6</v>
      </c>
      <c r="B15" s="223" t="s">
        <v>12</v>
      </c>
      <c r="C15" s="223" t="s">
        <v>517</v>
      </c>
      <c r="D15" s="209">
        <f>'Baseline_2020 Population Proj'!C14</f>
        <v>219201.67422739117</v>
      </c>
      <c r="E15" s="209"/>
      <c r="F15" s="206"/>
      <c r="G15" s="52"/>
      <c r="H15" s="52"/>
      <c r="I15" s="52"/>
      <c r="J15" s="52"/>
      <c r="K15" s="52"/>
      <c r="L15" s="52"/>
      <c r="M15" s="52"/>
      <c r="N15" s="52"/>
      <c r="O15" s="52"/>
      <c r="P15" s="52">
        <v>136439.44555469762</v>
      </c>
      <c r="Q15" s="51">
        <v>32512.981424400001</v>
      </c>
      <c r="R15" s="52">
        <v>20139.220126836</v>
      </c>
      <c r="S15" s="52">
        <v>86803.862994046911</v>
      </c>
      <c r="T15" s="74">
        <v>0</v>
      </c>
      <c r="U15" s="74"/>
      <c r="V15" s="52">
        <v>12275.293756733905</v>
      </c>
      <c r="W15" s="52">
        <v>865.98192287364418</v>
      </c>
      <c r="X15" s="52">
        <v>291.40291704698143</v>
      </c>
      <c r="Y15" s="52">
        <v>24156.024499858508</v>
      </c>
      <c r="Z15" s="52"/>
      <c r="AA15" s="52"/>
      <c r="AB15" s="66">
        <v>0</v>
      </c>
      <c r="AC15" s="52">
        <v>0</v>
      </c>
      <c r="AD15" s="52">
        <v>0</v>
      </c>
      <c r="AE15" s="52">
        <v>0</v>
      </c>
      <c r="AF15" s="52">
        <v>0</v>
      </c>
      <c r="AG15" s="84"/>
      <c r="AH15"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136439.44555469762</v>
      </c>
      <c r="AJ15" s="59">
        <f>Table1345[[#This Row],[FSC PiN]]</f>
        <v>136439.44555469762</v>
      </c>
      <c r="AK15" s="59">
        <f>Table1345[[#This Row],[Education PiN]]</f>
        <v>0</v>
      </c>
      <c r="AL15" s="59">
        <f>Table1345[[#This Row],[Nutrition PiN]]</f>
        <v>24156.024499858508</v>
      </c>
      <c r="AM15" s="59">
        <f>Table1345[[#This Row],[WASH_PiN]]</f>
        <v>0</v>
      </c>
      <c r="AN15" s="59">
        <f>Table1345[[#This Row],[Health PiN]]</f>
        <v>86803.862994046911</v>
      </c>
      <c r="AO15" s="59">
        <f>Table1345[[#This Row],[Protection/GBV PiN]]</f>
        <v>46247.169228494997</v>
      </c>
      <c r="AP15" s="59">
        <f>Table1345[[#This Row],[CP_PiN]]</f>
        <v>0</v>
      </c>
      <c r="AQ15" s="59">
        <f>Table1345[[#This Row],[Shelter/NFIs PiN]]</f>
        <v>0</v>
      </c>
      <c r="AR15" s="59">
        <f>Table1345[[#This Row],[CCCM_PiN]]</f>
        <v>0</v>
      </c>
      <c r="AT15" s="79">
        <f>Table136[[#This Row],[Overall Intersectorial Final PiN]]-(Table8[[#This Row],[IDPs]]+Table8[[#This Row],[Returnee Migrants]]+Table8[[#This Row],[Refugees]])</f>
        <v>136439.44555469762</v>
      </c>
      <c r="AU15" s="66">
        <f>'Baseline_2020 Population Proj'!L14</f>
        <v>0</v>
      </c>
      <c r="AV15" s="66">
        <f>'Baseline_2020 Population Proj'!O14</f>
        <v>0</v>
      </c>
      <c r="AW15" s="78">
        <f>'Baseline_2020 Population Proj'!R14</f>
        <v>0</v>
      </c>
      <c r="AY15" s="59">
        <v>15501</v>
      </c>
      <c r="BA15" s="66">
        <f>MAX(Table136[[#This Row],[IPC 4]],Table136[[#This Row],[SAM]],Table136[[#This Row],[Gap]])</f>
        <v>865.98192287364418</v>
      </c>
      <c r="BB15" s="79">
        <f>Table136[[#This Row],[Overall Intersectorial Final PiN]]-BA15</f>
        <v>135573.46363182398</v>
      </c>
      <c r="BC15" s="62">
        <f>Table136[[#This Row],[Overall Intersectorial Final PiN]]*0.07</f>
        <v>9550.7611888288338</v>
      </c>
    </row>
    <row r="16" spans="1:55" x14ac:dyDescent="0.2">
      <c r="A16" s="223" t="s">
        <v>6</v>
      </c>
      <c r="B16" s="223" t="s">
        <v>10</v>
      </c>
      <c r="C16" s="223" t="s">
        <v>518</v>
      </c>
      <c r="D16" s="209">
        <f>'Baseline_2020 Population Proj'!C15</f>
        <v>197150.77161324999</v>
      </c>
      <c r="E16" s="209">
        <v>184556</v>
      </c>
      <c r="F16" s="206"/>
      <c r="G16" s="52"/>
      <c r="H16" s="52"/>
      <c r="I16" s="52"/>
      <c r="J16" s="52"/>
      <c r="K16" s="52">
        <v>13471.42123214371</v>
      </c>
      <c r="L16" s="52">
        <v>5495</v>
      </c>
      <c r="M16" s="52">
        <v>29268</v>
      </c>
      <c r="N16" s="52">
        <v>36911</v>
      </c>
      <c r="O16" s="52">
        <v>9228</v>
      </c>
      <c r="P16" s="52">
        <v>46139</v>
      </c>
      <c r="Q16" s="51">
        <v>29268.746211600002</v>
      </c>
      <c r="R16" s="52">
        <v>13767.091662240002</v>
      </c>
      <c r="S16" s="52">
        <v>47710.486730406505</v>
      </c>
      <c r="T16" s="74">
        <v>1437.7499999999998</v>
      </c>
      <c r="U16" s="74">
        <v>118290.46296794999</v>
      </c>
      <c r="V16" s="52"/>
      <c r="W16" s="52">
        <v>399.29270200151899</v>
      </c>
      <c r="X16" s="52">
        <v>767.83986594892099</v>
      </c>
      <c r="Y16" s="52">
        <v>21647.154723134852</v>
      </c>
      <c r="Z16" s="52">
        <v>425</v>
      </c>
      <c r="AA16" s="52">
        <v>555</v>
      </c>
      <c r="AB16" s="66">
        <v>0</v>
      </c>
      <c r="AC16" s="52">
        <v>0</v>
      </c>
      <c r="AD16" s="52">
        <v>0</v>
      </c>
      <c r="AE16" s="52">
        <v>0</v>
      </c>
      <c r="AF16" s="52">
        <v>0</v>
      </c>
      <c r="AG16" s="84"/>
      <c r="AH16"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118290.46296794999</v>
      </c>
      <c r="AJ16" s="59">
        <f>Table1345[[#This Row],[FSC PiN]]</f>
        <v>46139</v>
      </c>
      <c r="AK16" s="59">
        <f>Table1345[[#This Row],[Education PiN]]</f>
        <v>0</v>
      </c>
      <c r="AL16" s="59">
        <f>Table1345[[#This Row],[Nutrition PiN]]</f>
        <v>21647.154723134852</v>
      </c>
      <c r="AM16" s="59">
        <f>Table1345[[#This Row],[WASH_PiN]]</f>
        <v>0</v>
      </c>
      <c r="AN16" s="59">
        <f>Table1345[[#This Row],[Health PiN]]</f>
        <v>118290.46296794999</v>
      </c>
      <c r="AO16" s="59">
        <f>Table1345[[#This Row],[Protection/GBV PiN]]</f>
        <v>41594.869794963488</v>
      </c>
      <c r="AP16" s="59">
        <f>Table1345[[#This Row],[CP_PiN]]</f>
        <v>0</v>
      </c>
      <c r="AQ16" s="59">
        <f>Table1345[[#This Row],[Shelter/NFIs PiN]]</f>
        <v>555</v>
      </c>
      <c r="AR16" s="59">
        <f>Table1345[[#This Row],[CCCM_PiN]]</f>
        <v>0</v>
      </c>
      <c r="AT16" s="79">
        <f>Table136[[#This Row],[Overall Intersectorial Final PiN]]-(Table8[[#This Row],[IDPs]]+Table8[[#This Row],[Returnee Migrants]]+Table8[[#This Row],[Refugees]])</f>
        <v>118290.46296794999</v>
      </c>
      <c r="AU16" s="66">
        <v>0</v>
      </c>
      <c r="AV16" s="66">
        <f>'Baseline_2020 Population Proj'!O15</f>
        <v>0</v>
      </c>
      <c r="AW16" s="78">
        <f>'Baseline_2020 Population Proj'!R15</f>
        <v>0</v>
      </c>
      <c r="AY16" s="59">
        <v>37617</v>
      </c>
      <c r="BA16" s="66">
        <f>MAX(Table136[[#This Row],[IPC 4]],Table136[[#This Row],[SAM]],Table136[[#This Row],[Gap]])</f>
        <v>9228</v>
      </c>
      <c r="BB16" s="79">
        <f>Table136[[#This Row],[Overall Intersectorial Final PiN]]-BA16</f>
        <v>109062.46296794999</v>
      </c>
      <c r="BC16" s="62">
        <f>Table136[[#This Row],[Overall Intersectorial Final PiN]]*0.07</f>
        <v>8280.3324077564994</v>
      </c>
    </row>
    <row r="17" spans="1:55" x14ac:dyDescent="0.2">
      <c r="A17" s="223" t="s">
        <v>6</v>
      </c>
      <c r="B17" s="223" t="s">
        <v>11</v>
      </c>
      <c r="C17" s="223" t="s">
        <v>518</v>
      </c>
      <c r="D17" s="209">
        <f>'Baseline_2020 Population Proj'!C16</f>
        <v>147908.351173448</v>
      </c>
      <c r="E17" s="209">
        <v>138459</v>
      </c>
      <c r="F17" s="206"/>
      <c r="G17" s="52"/>
      <c r="H17" s="52"/>
      <c r="I17" s="52"/>
      <c r="J17" s="52"/>
      <c r="K17" s="52">
        <v>9402.3748623615775</v>
      </c>
      <c r="L17" s="52">
        <v>5853</v>
      </c>
      <c r="M17" s="52"/>
      <c r="N17" s="52">
        <v>34615</v>
      </c>
      <c r="O17" s="52">
        <v>13846</v>
      </c>
      <c r="P17" s="52">
        <v>48461</v>
      </c>
      <c r="Q17" s="51">
        <v>21833.8066392</v>
      </c>
      <c r="R17" s="52">
        <v>15065.326581047999</v>
      </c>
      <c r="S17" s="52">
        <v>35793.820983974423</v>
      </c>
      <c r="T17" s="74">
        <v>1109.25</v>
      </c>
      <c r="U17" s="74">
        <v>44372.505352034401</v>
      </c>
      <c r="V17" s="52"/>
      <c r="W17" s="52">
        <v>212.9880256897651</v>
      </c>
      <c r="X17" s="52">
        <v>94.661344751006709</v>
      </c>
      <c r="Y17" s="52">
        <v>15317.388847522276</v>
      </c>
      <c r="Z17" s="52">
        <v>160</v>
      </c>
      <c r="AA17" s="52">
        <v>295</v>
      </c>
      <c r="AB17" s="66">
        <v>0</v>
      </c>
      <c r="AC17" s="52">
        <v>0</v>
      </c>
      <c r="AD17" s="52">
        <v>0</v>
      </c>
      <c r="AE17" s="52">
        <v>0</v>
      </c>
      <c r="AF17" s="52">
        <v>0</v>
      </c>
      <c r="AG17" s="84"/>
      <c r="AH17"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48461</v>
      </c>
      <c r="AJ17" s="59">
        <f>Table1345[[#This Row],[FSC PiN]]</f>
        <v>48461</v>
      </c>
      <c r="AK17" s="59">
        <f>Table1345[[#This Row],[Education PiN]]</f>
        <v>0</v>
      </c>
      <c r="AL17" s="59">
        <f>Table1345[[#This Row],[Nutrition PiN]]</f>
        <v>15317.388847522276</v>
      </c>
      <c r="AM17" s="59">
        <f>Table1345[[#This Row],[WASH_PiN]]</f>
        <v>0</v>
      </c>
      <c r="AN17" s="59">
        <f>Table1345[[#This Row],[Health PiN]]</f>
        <v>44372.505352034401</v>
      </c>
      <c r="AO17" s="59">
        <f>Table1345[[#This Row],[Protection/GBV PiN]]</f>
        <v>31205.703930574062</v>
      </c>
      <c r="AP17" s="59">
        <f>Table1345[[#This Row],[CP_PiN]]</f>
        <v>0</v>
      </c>
      <c r="AQ17" s="59">
        <f>Table1345[[#This Row],[Shelter/NFIs PiN]]</f>
        <v>295</v>
      </c>
      <c r="AR17" s="59">
        <f>Table1345[[#This Row],[CCCM_PiN]]</f>
        <v>0</v>
      </c>
      <c r="AT17" s="79">
        <f>Table136[[#This Row],[Overall Intersectorial Final PiN]]-(Table8[[#This Row],[IDPs]]+Table8[[#This Row],[Returnee Migrants]]+Table8[[#This Row],[Refugees]])</f>
        <v>48461</v>
      </c>
      <c r="AU17" s="66">
        <v>0</v>
      </c>
      <c r="AV17" s="66">
        <f>'Baseline_2020 Population Proj'!O16</f>
        <v>0</v>
      </c>
      <c r="AW17" s="78">
        <f>'Baseline_2020 Population Proj'!R16</f>
        <v>0</v>
      </c>
      <c r="AY17" s="59">
        <v>42332</v>
      </c>
      <c r="BA17" s="66">
        <f>MAX(Table136[[#This Row],[IPC 4]],Table136[[#This Row],[SAM]],Table136[[#This Row],[Gap]])</f>
        <v>13846</v>
      </c>
      <c r="BB17" s="79">
        <f>Table136[[#This Row],[Overall Intersectorial Final PiN]]-BA17</f>
        <v>34615</v>
      </c>
      <c r="BC17" s="62">
        <f>Table136[[#This Row],[Overall Intersectorial Final PiN]]*0.07</f>
        <v>3392.2700000000004</v>
      </c>
    </row>
    <row r="18" spans="1:55" x14ac:dyDescent="0.2">
      <c r="A18" s="223" t="s">
        <v>6</v>
      </c>
      <c r="B18" s="223" t="s">
        <v>13</v>
      </c>
      <c r="C18" s="223" t="s">
        <v>517</v>
      </c>
      <c r="D18" s="209">
        <f>'Baseline_2020 Population Proj'!C17</f>
        <v>35418.838807370121</v>
      </c>
      <c r="E18" s="209"/>
      <c r="F18" s="206">
        <v>75</v>
      </c>
      <c r="G18" s="52">
        <v>75</v>
      </c>
      <c r="H18" s="52"/>
      <c r="I18" s="52"/>
      <c r="J18" s="52"/>
      <c r="K18" s="52"/>
      <c r="L18" s="52"/>
      <c r="M18" s="52"/>
      <c r="N18" s="52"/>
      <c r="O18" s="52"/>
      <c r="P18" s="52">
        <v>15459.109486160636</v>
      </c>
      <c r="Q18" s="51">
        <v>5256.0183923999994</v>
      </c>
      <c r="R18" s="52">
        <v>3728.8247227559996</v>
      </c>
      <c r="S18" s="52"/>
      <c r="T18" s="74">
        <v>1650</v>
      </c>
      <c r="U18" s="74">
        <v>10625.651642211036</v>
      </c>
      <c r="V18" s="52"/>
      <c r="W18" s="52">
        <v>89.952606494908238</v>
      </c>
      <c r="X18" s="52">
        <v>40.388720316213821</v>
      </c>
      <c r="Y18" s="52">
        <v>0</v>
      </c>
      <c r="Z18" s="52"/>
      <c r="AA18" s="52"/>
      <c r="AB18" s="66">
        <v>0</v>
      </c>
      <c r="AC18" s="52">
        <v>0</v>
      </c>
      <c r="AD18" s="52">
        <v>0</v>
      </c>
      <c r="AE18" s="52">
        <v>0</v>
      </c>
      <c r="AF18" s="52">
        <v>0</v>
      </c>
      <c r="AG18" s="84"/>
      <c r="AH18"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15459.109486160636</v>
      </c>
      <c r="AJ18" s="59">
        <f>Table1345[[#This Row],[FSC PiN]]</f>
        <v>15459.109486160636</v>
      </c>
      <c r="AK18" s="59">
        <f>Table1345[[#This Row],[Education PiN]]</f>
        <v>0</v>
      </c>
      <c r="AL18" s="59">
        <f>Table1345[[#This Row],[Nutrition PiN]]</f>
        <v>0</v>
      </c>
      <c r="AM18" s="59">
        <f>Table1345[[#This Row],[WASH_PiN]]</f>
        <v>0</v>
      </c>
      <c r="AN18" s="59">
        <f>Table1345[[#This Row],[Health PiN]]</f>
        <v>0</v>
      </c>
      <c r="AO18" s="59">
        <f>Table1345[[#This Row],[Protection/GBV PiN]]</f>
        <v>7472.6666115789485</v>
      </c>
      <c r="AP18" s="59">
        <f>Table1345[[#This Row],[CP_PiN]]</f>
        <v>0</v>
      </c>
      <c r="AQ18" s="59">
        <f>Table1345[[#This Row],[Shelter/NFIs PiN]]</f>
        <v>0</v>
      </c>
      <c r="AR18" s="59">
        <f>Table1345[[#This Row],[CCCM_PiN]]</f>
        <v>75</v>
      </c>
      <c r="AT18" s="79">
        <f>Table136[[#This Row],[Overall Intersectorial Final PiN]]-(Table8[[#This Row],[IDPs]]+Table8[[#This Row],[Returnee Migrants]]+Table8[[#This Row],[Refugees]])</f>
        <v>15459.109486160636</v>
      </c>
      <c r="AU18" s="66">
        <f>'Baseline_2020 Population Proj'!L17</f>
        <v>0</v>
      </c>
      <c r="AV18" s="66">
        <f>'Baseline_2020 Population Proj'!O17</f>
        <v>0</v>
      </c>
      <c r="AW18" s="78">
        <f>'Baseline_2020 Population Proj'!R17</f>
        <v>0</v>
      </c>
      <c r="AY18" s="59">
        <v>4000</v>
      </c>
      <c r="BA18" s="66">
        <f>MAX(Table136[[#This Row],[IPC 4]],Table136[[#This Row],[SAM]],Table136[[#This Row],[Gap]])</f>
        <v>1650</v>
      </c>
      <c r="BB18" s="79">
        <f>Table136[[#This Row],[Overall Intersectorial Final PiN]]-BA18</f>
        <v>13809.109486160636</v>
      </c>
      <c r="BC18" s="62">
        <f>Table136[[#This Row],[Overall Intersectorial Final PiN]]*0.07</f>
        <v>1082.1376640312446</v>
      </c>
    </row>
    <row r="19" spans="1:55" x14ac:dyDescent="0.2">
      <c r="A19" s="223" t="s">
        <v>15</v>
      </c>
      <c r="B19" s="223" t="s">
        <v>90</v>
      </c>
      <c r="C19" s="223" t="s">
        <v>518</v>
      </c>
      <c r="D19" s="209">
        <f>'Baseline_2020 Population Proj'!C18</f>
        <v>159223.21835976816</v>
      </c>
      <c r="E19" s="209">
        <v>136950</v>
      </c>
      <c r="F19" s="206"/>
      <c r="G19" s="52"/>
      <c r="H19" s="52">
        <v>18059.345955255951</v>
      </c>
      <c r="I19" s="52"/>
      <c r="J19" s="52"/>
      <c r="K19" s="52">
        <v>22074.524077928461</v>
      </c>
      <c r="L19" s="52">
        <v>1558</v>
      </c>
      <c r="M19" s="52">
        <v>31928</v>
      </c>
      <c r="N19" s="52">
        <v>41085</v>
      </c>
      <c r="O19" s="52">
        <v>6848</v>
      </c>
      <c r="P19" s="52">
        <v>47933</v>
      </c>
      <c r="Q19" s="51">
        <v>21163.013771599999</v>
      </c>
      <c r="R19" s="52">
        <v>15234.981340131999</v>
      </c>
      <c r="S19" s="52">
        <v>20544.571864960886</v>
      </c>
      <c r="T19" s="74">
        <v>528.29999999999995</v>
      </c>
      <c r="U19" s="74">
        <v>47766.965507930443</v>
      </c>
      <c r="V19" s="52"/>
      <c r="W19" s="52">
        <v>101.90285975025162</v>
      </c>
      <c r="X19" s="52">
        <v>305.70857925075484</v>
      </c>
      <c r="Y19" s="52">
        <v>5572.8126425918863</v>
      </c>
      <c r="Z19" s="52"/>
      <c r="AA19" s="52"/>
      <c r="AB19" s="66">
        <v>0</v>
      </c>
      <c r="AC19" s="52">
        <v>0</v>
      </c>
      <c r="AD19" s="52">
        <v>0</v>
      </c>
      <c r="AE19" s="52">
        <v>0</v>
      </c>
      <c r="AF19" s="52">
        <v>0</v>
      </c>
      <c r="AG19" s="84"/>
      <c r="AH19"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47933</v>
      </c>
      <c r="AJ19" s="59">
        <f>Table1345[[#This Row],[FSC PiN]]</f>
        <v>47933</v>
      </c>
      <c r="AK19" s="59">
        <f>Table1345[[#This Row],[Education PiN]]</f>
        <v>31928</v>
      </c>
      <c r="AL19" s="59">
        <f>Table1345[[#This Row],[Nutrition PiN]]</f>
        <v>5572.8126425918863</v>
      </c>
      <c r="AM19" s="59">
        <f>Table1345[[#This Row],[WASH_PiN]]</f>
        <v>0</v>
      </c>
      <c r="AN19" s="59">
        <f>Table1345[[#This Row],[Health PiN]]</f>
        <v>47766.965507930443</v>
      </c>
      <c r="AO19" s="59">
        <f>Table1345[[#This Row],[Protection/GBV PiN]]</f>
        <v>21936.023570206904</v>
      </c>
      <c r="AP19" s="59">
        <f>Table1345[[#This Row],[CP_PiN]]</f>
        <v>18059.345955255951</v>
      </c>
      <c r="AQ19" s="59">
        <f>Table1345[[#This Row],[Shelter/NFIs PiN]]</f>
        <v>0</v>
      </c>
      <c r="AR19" s="59">
        <f>Table1345[[#This Row],[CCCM_PiN]]</f>
        <v>0</v>
      </c>
      <c r="AT19" s="79">
        <f>Table136[[#This Row],[Overall Intersectorial Final PiN]]-(Table8[[#This Row],[IDPs]]+Table8[[#This Row],[Returnee Migrants]]+Table8[[#This Row],[Refugees]])</f>
        <v>47708</v>
      </c>
      <c r="AU19" s="66">
        <f>'Baseline_2020 Population Proj'!L18</f>
        <v>0</v>
      </c>
      <c r="AV19" s="66">
        <f>'Baseline_2020 Population Proj'!O18</f>
        <v>225</v>
      </c>
      <c r="AW19" s="78">
        <f>'Baseline_2020 Population Proj'!R18</f>
        <v>0</v>
      </c>
      <c r="AY19" s="59">
        <v>32541</v>
      </c>
      <c r="BA19" s="66">
        <f>MAX(Table136[[#This Row],[IPC 4]],Table136[[#This Row],[SAM]],Table136[[#This Row],[Gap]])</f>
        <v>6848</v>
      </c>
      <c r="BB19" s="79">
        <f>Table136[[#This Row],[Overall Intersectorial Final PiN]]-BA19</f>
        <v>41085</v>
      </c>
      <c r="BC19" s="62">
        <f>Table136[[#This Row],[Overall Intersectorial Final PiN]]*0.07</f>
        <v>3355.3100000000004</v>
      </c>
    </row>
    <row r="20" spans="1:55" x14ac:dyDescent="0.2">
      <c r="A20" s="223" t="s">
        <v>15</v>
      </c>
      <c r="B20" s="223" t="s">
        <v>24</v>
      </c>
      <c r="C20" s="223" t="s">
        <v>517</v>
      </c>
      <c r="D20" s="209">
        <f>'Baseline_2020 Population Proj'!C19</f>
        <v>55535.29465866102</v>
      </c>
      <c r="E20" s="209"/>
      <c r="F20" s="206"/>
      <c r="G20" s="52"/>
      <c r="H20" s="52"/>
      <c r="I20" s="52"/>
      <c r="J20" s="52"/>
      <c r="K20" s="52"/>
      <c r="L20" s="52"/>
      <c r="M20" s="52"/>
      <c r="N20" s="52"/>
      <c r="O20" s="52"/>
      <c r="P20" s="52">
        <v>24239.253159699478</v>
      </c>
      <c r="Q20" s="51">
        <v>7932.275536000001</v>
      </c>
      <c r="R20" s="52">
        <v>4732.1239004800009</v>
      </c>
      <c r="S20" s="52"/>
      <c r="T20" s="74">
        <v>782</v>
      </c>
      <c r="U20" s="74"/>
      <c r="V20" s="52"/>
      <c r="W20" s="52">
        <v>137.7619712462909</v>
      </c>
      <c r="X20" s="52">
        <v>75.493560242967419</v>
      </c>
      <c r="Y20" s="52">
        <v>0</v>
      </c>
      <c r="Z20" s="52"/>
      <c r="AA20" s="52"/>
      <c r="AB20" s="66">
        <v>0</v>
      </c>
      <c r="AC20" s="52">
        <v>0</v>
      </c>
      <c r="AD20" s="52">
        <v>0</v>
      </c>
      <c r="AE20" s="52">
        <v>0</v>
      </c>
      <c r="AF20" s="52">
        <v>0</v>
      </c>
      <c r="AG20" s="84"/>
      <c r="AH20"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24239.253159699478</v>
      </c>
      <c r="AJ20" s="59">
        <f>Table1345[[#This Row],[FSC PiN]]</f>
        <v>24239.253159699478</v>
      </c>
      <c r="AK20" s="59">
        <f>Table1345[[#This Row],[Education PiN]]</f>
        <v>0</v>
      </c>
      <c r="AL20" s="59">
        <f>Table1345[[#This Row],[Nutrition PiN]]</f>
        <v>0</v>
      </c>
      <c r="AM20" s="59">
        <f>Table1345[[#This Row],[WASH_PiN]]</f>
        <v>0</v>
      </c>
      <c r="AN20" s="59">
        <f>Table1345[[#This Row],[Health PiN]]</f>
        <v>0</v>
      </c>
      <c r="AO20" s="59">
        <f>Table1345[[#This Row],[Protection/GBV PiN]]</f>
        <v>7651.0420098290724</v>
      </c>
      <c r="AP20" s="59">
        <f>Table1345[[#This Row],[CP_PiN]]</f>
        <v>0</v>
      </c>
      <c r="AQ20" s="59">
        <f>Table1345[[#This Row],[Shelter/NFIs PiN]]</f>
        <v>0</v>
      </c>
      <c r="AR20" s="59">
        <f>Table1345[[#This Row],[CCCM_PiN]]</f>
        <v>0</v>
      </c>
      <c r="AT20" s="79">
        <f>Table136[[#This Row],[Overall Intersectorial Final PiN]]-(Table8[[#This Row],[IDPs]]+Table8[[#This Row],[Returnee Migrants]]+Table8[[#This Row],[Refugees]])</f>
        <v>24239.253159699478</v>
      </c>
      <c r="AU20" s="66">
        <f>'Baseline_2020 Population Proj'!L19</f>
        <v>0</v>
      </c>
      <c r="AV20" s="66">
        <f>'Baseline_2020 Population Proj'!O19</f>
        <v>0</v>
      </c>
      <c r="AW20" s="78">
        <f>'Baseline_2020 Population Proj'!R19</f>
        <v>0</v>
      </c>
      <c r="AY20" s="59">
        <v>0</v>
      </c>
      <c r="BA20" s="66">
        <f>MAX(Table136[[#This Row],[IPC 4]],Table136[[#This Row],[SAM]],Table136[[#This Row],[Gap]])</f>
        <v>782</v>
      </c>
      <c r="BB20" s="79">
        <f>Table136[[#This Row],[Overall Intersectorial Final PiN]]-BA20</f>
        <v>23457.253159699478</v>
      </c>
      <c r="BC20" s="62">
        <f>Table136[[#This Row],[Overall Intersectorial Final PiN]]*0.07</f>
        <v>1696.7477211789635</v>
      </c>
    </row>
    <row r="21" spans="1:55" x14ac:dyDescent="0.2">
      <c r="A21" s="223" t="s">
        <v>15</v>
      </c>
      <c r="B21" s="223" t="s">
        <v>16</v>
      </c>
      <c r="C21" s="223" t="s">
        <v>518</v>
      </c>
      <c r="D21" s="209">
        <f>'Baseline_2020 Population Proj'!C20</f>
        <v>156135.87559087912</v>
      </c>
      <c r="E21" s="209">
        <v>134295</v>
      </c>
      <c r="F21" s="206"/>
      <c r="G21" s="52"/>
      <c r="H21" s="52">
        <v>21031.988528856673</v>
      </c>
      <c r="I21" s="52"/>
      <c r="J21" s="52"/>
      <c r="K21" s="52">
        <v>24991.541314778398</v>
      </c>
      <c r="L21" s="52">
        <v>5075</v>
      </c>
      <c r="M21" s="52">
        <v>28102</v>
      </c>
      <c r="N21" s="52">
        <v>26859</v>
      </c>
      <c r="O21" s="52">
        <v>13430</v>
      </c>
      <c r="P21" s="52">
        <v>40289</v>
      </c>
      <c r="Q21" s="51">
        <v>21937.042864000003</v>
      </c>
      <c r="R21" s="52">
        <v>13876.852325600003</v>
      </c>
      <c r="S21" s="52"/>
      <c r="T21" s="74">
        <v>2287</v>
      </c>
      <c r="U21" s="74">
        <v>46840.762677263738</v>
      </c>
      <c r="V21" s="52">
        <v>6869.978525998682</v>
      </c>
      <c r="W21" s="52">
        <v>0</v>
      </c>
      <c r="X21" s="52">
        <v>399.70784151265053</v>
      </c>
      <c r="Y21" s="52">
        <v>5464.7556456807697</v>
      </c>
      <c r="Z21" s="52"/>
      <c r="AA21" s="52"/>
      <c r="AB21" s="66">
        <v>0</v>
      </c>
      <c r="AC21" s="52">
        <v>0</v>
      </c>
      <c r="AD21" s="52">
        <v>0</v>
      </c>
      <c r="AE21" s="52">
        <v>0</v>
      </c>
      <c r="AF21" s="52">
        <v>0</v>
      </c>
      <c r="AG21" s="84"/>
      <c r="AH21"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46840.762677263738</v>
      </c>
      <c r="AJ21" s="59">
        <f>Table1345[[#This Row],[FSC PiN]]</f>
        <v>40289</v>
      </c>
      <c r="AK21" s="59">
        <f>Table1345[[#This Row],[Education PiN]]</f>
        <v>28102</v>
      </c>
      <c r="AL21" s="59">
        <f>Table1345[[#This Row],[Nutrition PiN]]</f>
        <v>5464.7556456807697</v>
      </c>
      <c r="AM21" s="59">
        <f>Table1345[[#This Row],[WASH_PiN]]</f>
        <v>42156.686409537368</v>
      </c>
      <c r="AN21" s="59">
        <f>Table1345[[#This Row],[Health PiN]]</f>
        <v>46840.762677263738</v>
      </c>
      <c r="AO21" s="59">
        <f>Table1345[[#This Row],[Protection/GBV PiN]]</f>
        <v>21510.683444279828</v>
      </c>
      <c r="AP21" s="59">
        <f>Table1345[[#This Row],[CP_PiN]]</f>
        <v>21031.988528856673</v>
      </c>
      <c r="AQ21" s="59">
        <f>Table1345[[#This Row],[Shelter/NFIs PiN]]</f>
        <v>0</v>
      </c>
      <c r="AR21" s="59">
        <f>Table1345[[#This Row],[CCCM_PiN]]</f>
        <v>0</v>
      </c>
      <c r="AT21" s="79">
        <f>Table136[[#This Row],[Overall Intersectorial Final PiN]]-(Table8[[#This Row],[IDPs]]+Table8[[#This Row],[Returnee Migrants]]+Table8[[#This Row],[Refugees]])</f>
        <v>46840.762677263738</v>
      </c>
      <c r="AU21" s="66">
        <f>'Baseline_2020 Population Proj'!L20</f>
        <v>0</v>
      </c>
      <c r="AV21" s="66">
        <f>'Baseline_2020 Population Proj'!O20</f>
        <v>0</v>
      </c>
      <c r="AW21" s="78">
        <f>'Baseline_2020 Population Proj'!R20</f>
        <v>0</v>
      </c>
      <c r="AY21" s="59">
        <v>78192</v>
      </c>
      <c r="BA21" s="66">
        <f>MAX(Table136[[#This Row],[IPC 4]],Table136[[#This Row],[SAM]],Table136[[#This Row],[Gap]])</f>
        <v>13430</v>
      </c>
      <c r="BB21" s="79">
        <f>Table136[[#This Row],[Overall Intersectorial Final PiN]]-BA21</f>
        <v>33410.762677263738</v>
      </c>
      <c r="BC21" s="62">
        <f>Table136[[#This Row],[Overall Intersectorial Final PiN]]*0.07</f>
        <v>3278.8533874084619</v>
      </c>
    </row>
    <row r="22" spans="1:55" x14ac:dyDescent="0.2">
      <c r="A22" s="223" t="s">
        <v>15</v>
      </c>
      <c r="B22" s="223" t="s">
        <v>17</v>
      </c>
      <c r="C22" s="223" t="s">
        <v>518</v>
      </c>
      <c r="D22" s="209">
        <f>'Baseline_2020 Population Proj'!C21</f>
        <v>157725.3230625065</v>
      </c>
      <c r="E22" s="209">
        <v>135662</v>
      </c>
      <c r="F22" s="206"/>
      <c r="G22" s="52"/>
      <c r="H22" s="52">
        <v>11789.403445623655</v>
      </c>
      <c r="I22" s="52"/>
      <c r="J22" s="52"/>
      <c r="K22" s="52">
        <v>13376.619113984123</v>
      </c>
      <c r="L22" s="52">
        <v>956</v>
      </c>
      <c r="M22" s="52">
        <v>19312</v>
      </c>
      <c r="N22" s="52">
        <v>27132</v>
      </c>
      <c r="O22" s="52">
        <v>0</v>
      </c>
      <c r="P22" s="52">
        <v>27132</v>
      </c>
      <c r="Q22" s="51">
        <v>22390.525744000002</v>
      </c>
      <c r="R22" s="52">
        <v>12986.504931520001</v>
      </c>
      <c r="S22" s="52"/>
      <c r="T22" s="74">
        <v>2964</v>
      </c>
      <c r="U22" s="74">
        <v>47317.596918751951</v>
      </c>
      <c r="V22" s="52"/>
      <c r="W22" s="52">
        <v>100.94420676000416</v>
      </c>
      <c r="X22" s="52">
        <v>1413.2188946400584</v>
      </c>
      <c r="Y22" s="52">
        <v>0</v>
      </c>
      <c r="Z22" s="52"/>
      <c r="AA22" s="52"/>
      <c r="AB22" s="66">
        <v>0</v>
      </c>
      <c r="AC22" s="52">
        <v>0</v>
      </c>
      <c r="AD22" s="52">
        <v>0</v>
      </c>
      <c r="AE22" s="52">
        <v>0</v>
      </c>
      <c r="AF22" s="52">
        <v>0</v>
      </c>
      <c r="AG22" s="84"/>
      <c r="AH22"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47317.596918751951</v>
      </c>
      <c r="AJ22" s="59">
        <f>Table1345[[#This Row],[FSC PiN]]</f>
        <v>27132</v>
      </c>
      <c r="AK22" s="59">
        <f>Table1345[[#This Row],[Education PiN]]</f>
        <v>19312</v>
      </c>
      <c r="AL22" s="59">
        <f>Table1345[[#This Row],[Nutrition PiN]]</f>
        <v>0</v>
      </c>
      <c r="AM22" s="59">
        <f>Table1345[[#This Row],[WASH_PiN]]</f>
        <v>0</v>
      </c>
      <c r="AN22" s="59">
        <f>Table1345[[#This Row],[Health PiN]]</f>
        <v>0</v>
      </c>
      <c r="AO22" s="59">
        <f>Table1345[[#This Row],[Protection/GBV PiN]]</f>
        <v>21729.660032998465</v>
      </c>
      <c r="AP22" s="59">
        <f>Table1345[[#This Row],[CP_PiN]]</f>
        <v>11789.403445623655</v>
      </c>
      <c r="AQ22" s="59">
        <f>Table1345[[#This Row],[Shelter/NFIs PiN]]</f>
        <v>0</v>
      </c>
      <c r="AR22" s="59">
        <f>Table1345[[#This Row],[CCCM_PiN]]</f>
        <v>0</v>
      </c>
      <c r="AT22" s="79">
        <f>Table136[[#This Row],[Overall Intersectorial Final PiN]]-(Table8[[#This Row],[IDPs]]+Table8[[#This Row],[Returnee Migrants]]+Table8[[#This Row],[Refugees]])</f>
        <v>47317.596918751951</v>
      </c>
      <c r="AU22" s="66">
        <f>'Baseline_2020 Population Proj'!L21</f>
        <v>0</v>
      </c>
      <c r="AV22" s="66">
        <f>'Baseline_2020 Population Proj'!O21</f>
        <v>0</v>
      </c>
      <c r="AW22" s="78">
        <f>'Baseline_2020 Population Proj'!R21</f>
        <v>0</v>
      </c>
      <c r="AY22" s="59">
        <v>23043</v>
      </c>
      <c r="BA22" s="66">
        <f>MAX(Table136[[#This Row],[IPC 4]],Table136[[#This Row],[SAM]],Table136[[#This Row],[Gap]])</f>
        <v>2964</v>
      </c>
      <c r="BB22" s="79">
        <f>Table136[[#This Row],[Overall Intersectorial Final PiN]]-BA22</f>
        <v>44353.596918751951</v>
      </c>
      <c r="BC22" s="62">
        <f>Table136[[#This Row],[Overall Intersectorial Final PiN]]*0.07</f>
        <v>3312.231784312637</v>
      </c>
    </row>
    <row r="23" spans="1:55" x14ac:dyDescent="0.2">
      <c r="A23" s="223" t="s">
        <v>15</v>
      </c>
      <c r="B23" s="223" t="s">
        <v>18</v>
      </c>
      <c r="C23" s="223" t="s">
        <v>518</v>
      </c>
      <c r="D23" s="209">
        <f>'Baseline_2020 Population Proj'!C22</f>
        <v>296845.20980113145</v>
      </c>
      <c r="E23" s="209">
        <v>255321</v>
      </c>
      <c r="F23" s="206"/>
      <c r="G23" s="52"/>
      <c r="H23" s="52">
        <v>22402.374881013166</v>
      </c>
      <c r="I23" s="52">
        <v>31774.070206666664</v>
      </c>
      <c r="J23" s="52">
        <v>31899.51067333333</v>
      </c>
      <c r="K23" s="52">
        <v>28543.754496042508</v>
      </c>
      <c r="L23" s="52">
        <v>5433</v>
      </c>
      <c r="M23" s="52"/>
      <c r="N23" s="52">
        <v>76596</v>
      </c>
      <c r="O23" s="52">
        <v>12766</v>
      </c>
      <c r="P23" s="52">
        <v>89362</v>
      </c>
      <c r="Q23" s="51">
        <v>41710.626480000006</v>
      </c>
      <c r="R23" s="52">
        <v>24192.163358400001</v>
      </c>
      <c r="S23" s="52">
        <v>38301.937420640003</v>
      </c>
      <c r="T23" s="74">
        <v>1278.8999999999999</v>
      </c>
      <c r="U23" s="74">
        <v>89053.562940339427</v>
      </c>
      <c r="V23" s="52"/>
      <c r="W23" s="52">
        <v>376.94629816016692</v>
      </c>
      <c r="X23" s="52">
        <v>430.47267249891075</v>
      </c>
      <c r="Y23" s="52">
        <v>34137.199127130123</v>
      </c>
      <c r="Z23" s="52"/>
      <c r="AA23" s="52"/>
      <c r="AB23" s="66">
        <v>0</v>
      </c>
      <c r="AC23" s="52">
        <v>0</v>
      </c>
      <c r="AD23" s="52">
        <v>0</v>
      </c>
      <c r="AE23" s="52">
        <v>0</v>
      </c>
      <c r="AF23" s="52">
        <v>0</v>
      </c>
      <c r="AG23" s="84"/>
      <c r="AH23"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89362</v>
      </c>
      <c r="AJ23" s="59">
        <f>Table1345[[#This Row],[FSC PiN]]</f>
        <v>89362</v>
      </c>
      <c r="AK23" s="59">
        <f>Table1345[[#This Row],[Education PiN]]</f>
        <v>0</v>
      </c>
      <c r="AL23" s="59">
        <f>Table1345[[#This Row],[Nutrition PiN]]</f>
        <v>34137.199127130123</v>
      </c>
      <c r="AM23" s="59">
        <f>Table1345[[#This Row],[WASH_PiN]]</f>
        <v>0</v>
      </c>
      <c r="AN23" s="59">
        <f>Table1345[[#This Row],[Health PiN]]</f>
        <v>89053.562940339427</v>
      </c>
      <c r="AO23" s="59">
        <f>Table1345[[#This Row],[Protection/GBV PiN]]</f>
        <v>40896.067709092094</v>
      </c>
      <c r="AP23" s="59">
        <f>Table1345[[#This Row],[CP_PiN]]</f>
        <v>31899.51067333333</v>
      </c>
      <c r="AQ23" s="59">
        <f>Table1345[[#This Row],[Shelter/NFIs PiN]]</f>
        <v>0</v>
      </c>
      <c r="AR23" s="59">
        <f>Table1345[[#This Row],[CCCM_PiN]]</f>
        <v>0</v>
      </c>
      <c r="AT23" s="79">
        <f>Table136[[#This Row],[Overall Intersectorial Final PiN]]-(Table8[[#This Row],[IDPs]]+Table8[[#This Row],[Returnee Migrants]]+Table8[[#This Row],[Refugees]])</f>
        <v>89362</v>
      </c>
      <c r="AU23" s="66">
        <f>'Baseline_2020 Population Proj'!L22</f>
        <v>0</v>
      </c>
      <c r="AV23" s="66">
        <f>'Baseline_2020 Population Proj'!O22</f>
        <v>0</v>
      </c>
      <c r="AW23" s="78">
        <f>'Baseline_2020 Population Proj'!R22</f>
        <v>0</v>
      </c>
      <c r="AY23" s="59">
        <v>63537</v>
      </c>
      <c r="BA23" s="66">
        <f>MAX(Table136[[#This Row],[IPC 4]],Table136[[#This Row],[SAM]],Table136[[#This Row],[Gap]])</f>
        <v>12766</v>
      </c>
      <c r="BB23" s="79">
        <f>Table136[[#This Row],[Overall Intersectorial Final PiN]]-BA23</f>
        <v>76596</v>
      </c>
      <c r="BC23" s="62">
        <f>Table136[[#This Row],[Overall Intersectorial Final PiN]]*0.07</f>
        <v>6255.34</v>
      </c>
    </row>
    <row r="24" spans="1:55" x14ac:dyDescent="0.2">
      <c r="A24" s="223" t="s">
        <v>15</v>
      </c>
      <c r="B24" s="223" t="s">
        <v>22</v>
      </c>
      <c r="C24" s="223" t="s">
        <v>518</v>
      </c>
      <c r="D24" s="209">
        <f>'Baseline_2020 Population Proj'!C23</f>
        <v>104750.94617013154</v>
      </c>
      <c r="E24" s="209">
        <v>90098</v>
      </c>
      <c r="F24" s="206"/>
      <c r="G24" s="52"/>
      <c r="H24" s="52">
        <v>13916.762549235238</v>
      </c>
      <c r="I24" s="52">
        <v>13058.3284</v>
      </c>
      <c r="J24" s="52">
        <v>13102.593919999999</v>
      </c>
      <c r="K24" s="52">
        <v>16733.341823756968</v>
      </c>
      <c r="L24" s="52">
        <v>1415</v>
      </c>
      <c r="M24" s="52"/>
      <c r="N24" s="52">
        <v>31534</v>
      </c>
      <c r="O24" s="52">
        <v>13515</v>
      </c>
      <c r="P24" s="52">
        <v>45049</v>
      </c>
      <c r="Q24" s="51">
        <v>14793.688064000002</v>
      </c>
      <c r="R24" s="52">
        <v>8580.3390771199993</v>
      </c>
      <c r="S24" s="52"/>
      <c r="T24" s="74">
        <v>1854</v>
      </c>
      <c r="U24" s="74">
        <v>31425.283851039461</v>
      </c>
      <c r="V24" s="52"/>
      <c r="W24" s="52">
        <v>346.76175283905616</v>
      </c>
      <c r="X24" s="52">
        <v>323.6443026497858</v>
      </c>
      <c r="Y24" s="52">
        <v>0</v>
      </c>
      <c r="Z24" s="52"/>
      <c r="AA24" s="52"/>
      <c r="AB24" s="66">
        <v>0</v>
      </c>
      <c r="AC24" s="52">
        <v>0</v>
      </c>
      <c r="AD24" s="52">
        <v>0</v>
      </c>
      <c r="AE24" s="52">
        <v>0</v>
      </c>
      <c r="AF24" s="52">
        <v>0</v>
      </c>
      <c r="AG24" s="84"/>
      <c r="AH24"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45049</v>
      </c>
      <c r="AJ24" s="59">
        <f>Table1345[[#This Row],[FSC PiN]]</f>
        <v>45049</v>
      </c>
      <c r="AK24" s="59">
        <f>Table1345[[#This Row],[Education PiN]]</f>
        <v>0</v>
      </c>
      <c r="AL24" s="59">
        <f>Table1345[[#This Row],[Nutrition PiN]]</f>
        <v>0</v>
      </c>
      <c r="AM24" s="59">
        <f>Table1345[[#This Row],[WASH_PiN]]</f>
        <v>0</v>
      </c>
      <c r="AN24" s="59">
        <f>Table1345[[#This Row],[Health PiN]]</f>
        <v>31425.283851039461</v>
      </c>
      <c r="AO24" s="59">
        <f>Table1345[[#This Row],[Protection/GBV PiN]]</f>
        <v>14431.433102912855</v>
      </c>
      <c r="AP24" s="59">
        <f>Table1345[[#This Row],[CP_PiN]]</f>
        <v>13916.762549235238</v>
      </c>
      <c r="AQ24" s="59">
        <f>Table1345[[#This Row],[Shelter/NFIs PiN]]</f>
        <v>0</v>
      </c>
      <c r="AR24" s="59">
        <f>Table1345[[#This Row],[CCCM_PiN]]</f>
        <v>0</v>
      </c>
      <c r="AT24" s="79">
        <f>Table136[[#This Row],[Overall Intersectorial Final PiN]]-(Table8[[#This Row],[IDPs]]+Table8[[#This Row],[Returnee Migrants]]+Table8[[#This Row],[Refugees]])</f>
        <v>45049</v>
      </c>
      <c r="AU24" s="66">
        <f>'Baseline_2020 Population Proj'!L23</f>
        <v>0</v>
      </c>
      <c r="AV24" s="66">
        <f>'Baseline_2020 Population Proj'!O23</f>
        <v>0</v>
      </c>
      <c r="AW24" s="78">
        <f>'Baseline_2020 Population Proj'!R23</f>
        <v>0</v>
      </c>
      <c r="AY24" s="59">
        <v>61199</v>
      </c>
      <c r="BA24" s="66">
        <f>MAX(Table136[[#This Row],[IPC 4]],Table136[[#This Row],[SAM]],Table136[[#This Row],[Gap]])</f>
        <v>13515</v>
      </c>
      <c r="BB24" s="79">
        <f>Table136[[#This Row],[Overall Intersectorial Final PiN]]-BA24</f>
        <v>31534</v>
      </c>
      <c r="BC24" s="62">
        <f>Table136[[#This Row],[Overall Intersectorial Final PiN]]*0.07</f>
        <v>3153.4300000000003</v>
      </c>
    </row>
    <row r="25" spans="1:55" x14ac:dyDescent="0.2">
      <c r="A25" s="223" t="s">
        <v>15</v>
      </c>
      <c r="B25" s="223" t="s">
        <v>19</v>
      </c>
      <c r="C25" s="223" t="s">
        <v>518</v>
      </c>
      <c r="D25" s="209">
        <f>'Baseline_2020 Population Proj'!C24</f>
        <v>270492.17072154931</v>
      </c>
      <c r="E25" s="209">
        <v>232654</v>
      </c>
      <c r="F25" s="206"/>
      <c r="G25" s="52"/>
      <c r="H25" s="52">
        <v>32104.847826813231</v>
      </c>
      <c r="I25" s="52"/>
      <c r="J25" s="52"/>
      <c r="K25" s="52">
        <v>35735.06981967888</v>
      </c>
      <c r="L25" s="52">
        <v>4463</v>
      </c>
      <c r="M25" s="52">
        <v>62531</v>
      </c>
      <c r="N25" s="52">
        <v>58164</v>
      </c>
      <c r="O25" s="52">
        <v>23265</v>
      </c>
      <c r="P25" s="52">
        <v>81429</v>
      </c>
      <c r="Q25" s="51">
        <v>38494.013408000006</v>
      </c>
      <c r="R25" s="52">
        <v>22326.527776640003</v>
      </c>
      <c r="S25" s="52"/>
      <c r="T25" s="74">
        <v>4762</v>
      </c>
      <c r="U25" s="74">
        <v>135246.08536077465</v>
      </c>
      <c r="V25" s="52"/>
      <c r="W25" s="52">
        <v>908.85369362440565</v>
      </c>
      <c r="X25" s="52">
        <v>1774.4286399333635</v>
      </c>
      <c r="Y25" s="52">
        <v>31106.59963297817</v>
      </c>
      <c r="Z25" s="52"/>
      <c r="AA25" s="52"/>
      <c r="AB25" s="66">
        <v>0</v>
      </c>
      <c r="AC25" s="52">
        <v>0</v>
      </c>
      <c r="AD25" s="52">
        <v>0</v>
      </c>
      <c r="AE25" s="52">
        <v>0</v>
      </c>
      <c r="AF25" s="52">
        <v>0</v>
      </c>
      <c r="AG25" s="84"/>
      <c r="AH25"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135246.08536077465</v>
      </c>
      <c r="AJ25" s="59">
        <f>Table1345[[#This Row],[FSC PiN]]</f>
        <v>81429</v>
      </c>
      <c r="AK25" s="59">
        <f>Table1345[[#This Row],[Education PiN]]</f>
        <v>62531</v>
      </c>
      <c r="AL25" s="59">
        <f>Table1345[[#This Row],[Nutrition PiN]]</f>
        <v>31106.59963297817</v>
      </c>
      <c r="AM25" s="59">
        <f>Table1345[[#This Row],[WASH_PiN]]</f>
        <v>0</v>
      </c>
      <c r="AN25" s="59">
        <f>Table1345[[#This Row],[Health PiN]]</f>
        <v>135246.08536077465</v>
      </c>
      <c r="AO25" s="59">
        <f>Table1345[[#This Row],[Protection/GBV PiN]]</f>
        <v>37265.43586813713</v>
      </c>
      <c r="AP25" s="59">
        <f>Table1345[[#This Row],[CP_PiN]]</f>
        <v>32104.847826813231</v>
      </c>
      <c r="AQ25" s="59">
        <f>Table1345[[#This Row],[Shelter/NFIs PiN]]</f>
        <v>0</v>
      </c>
      <c r="AR25" s="59">
        <f>Table1345[[#This Row],[CCCM_PiN]]</f>
        <v>0</v>
      </c>
      <c r="AT25" s="79">
        <f>Table136[[#This Row],[Overall Intersectorial Final PiN]]-(Table8[[#This Row],[IDPs]]+Table8[[#This Row],[Returnee Migrants]]+Table8[[#This Row],[Refugees]])</f>
        <v>135246.08536077465</v>
      </c>
      <c r="AU25" s="66">
        <f>'Baseline_2020 Population Proj'!L24</f>
        <v>0</v>
      </c>
      <c r="AV25" s="66">
        <f>'Baseline_2020 Population Proj'!O24</f>
        <v>0</v>
      </c>
      <c r="AW25" s="78">
        <f>'Baseline_2020 Population Proj'!R24</f>
        <v>0</v>
      </c>
      <c r="AY25" s="59">
        <v>123680</v>
      </c>
      <c r="BA25" s="66">
        <f>MAX(Table136[[#This Row],[IPC 4]],Table136[[#This Row],[SAM]],Table136[[#This Row],[Gap]])</f>
        <v>23265</v>
      </c>
      <c r="BB25" s="79">
        <f>Table136[[#This Row],[Overall Intersectorial Final PiN]]-BA25</f>
        <v>111981.08536077465</v>
      </c>
      <c r="BC25" s="62">
        <f>Table136[[#This Row],[Overall Intersectorial Final PiN]]*0.07</f>
        <v>9467.2259752542268</v>
      </c>
    </row>
    <row r="26" spans="1:55" x14ac:dyDescent="0.2">
      <c r="A26" s="223" t="s">
        <v>15</v>
      </c>
      <c r="B26" s="223" t="s">
        <v>23</v>
      </c>
      <c r="C26" s="223" t="s">
        <v>517</v>
      </c>
      <c r="D26" s="209">
        <f>'Baseline_2020 Population Proj'!C25</f>
        <v>13413.665102557872</v>
      </c>
      <c r="E26" s="209"/>
      <c r="F26" s="206"/>
      <c r="G26" s="52"/>
      <c r="H26" s="52"/>
      <c r="I26" s="52"/>
      <c r="J26" s="52"/>
      <c r="K26" s="52"/>
      <c r="L26" s="52"/>
      <c r="M26" s="52"/>
      <c r="N26" s="52"/>
      <c r="O26" s="52"/>
      <c r="P26" s="52">
        <v>5854.6051879031438</v>
      </c>
      <c r="Q26" s="51">
        <v>1926.6867040000002</v>
      </c>
      <c r="R26" s="52">
        <v>1117.47828832</v>
      </c>
      <c r="S26" s="52"/>
      <c r="T26" s="74">
        <v>2482</v>
      </c>
      <c r="U26" s="74">
        <v>4024.0995307673616</v>
      </c>
      <c r="V26" s="52"/>
      <c r="W26" s="52">
        <v>37.003214076021713</v>
      </c>
      <c r="X26" s="52">
        <v>0</v>
      </c>
      <c r="Y26" s="52">
        <v>1510.3786905480165</v>
      </c>
      <c r="Z26" s="52"/>
      <c r="AA26" s="52"/>
      <c r="AB26" s="66">
        <v>0</v>
      </c>
      <c r="AC26" s="52">
        <v>0</v>
      </c>
      <c r="AD26" s="52">
        <v>0</v>
      </c>
      <c r="AE26" s="52">
        <v>0</v>
      </c>
      <c r="AF26" s="52">
        <v>0</v>
      </c>
      <c r="AG26" s="84"/>
      <c r="AH26"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5854.6051879031438</v>
      </c>
      <c r="AJ26" s="59">
        <f>Table1345[[#This Row],[FSC PiN]]</f>
        <v>5854.6051879031438</v>
      </c>
      <c r="AK26" s="59">
        <f>Table1345[[#This Row],[Education PiN]]</f>
        <v>0</v>
      </c>
      <c r="AL26" s="59">
        <f>Table1345[[#This Row],[Nutrition PiN]]</f>
        <v>1510.3786905480165</v>
      </c>
      <c r="AM26" s="59">
        <f>Table1345[[#This Row],[WASH_PiN]]</f>
        <v>0</v>
      </c>
      <c r="AN26" s="59">
        <f>Table1345[[#This Row],[Health PiN]]</f>
        <v>0</v>
      </c>
      <c r="AO26" s="59">
        <f>Table1345[[#This Row],[Protection/GBV PiN]]</f>
        <v>1847.9872275142959</v>
      </c>
      <c r="AP26" s="59">
        <f>Table1345[[#This Row],[CP_PiN]]</f>
        <v>0</v>
      </c>
      <c r="AQ26" s="59">
        <f>Table1345[[#This Row],[Shelter/NFIs PiN]]</f>
        <v>0</v>
      </c>
      <c r="AR26" s="59">
        <f>Table1345[[#This Row],[CCCM_PiN]]</f>
        <v>0</v>
      </c>
      <c r="AT26" s="79">
        <f>Table136[[#This Row],[Overall Intersectorial Final PiN]]-(Table8[[#This Row],[IDPs]]+Table8[[#This Row],[Returnee Migrants]]+Table8[[#This Row],[Refugees]])</f>
        <v>5854.6051879031438</v>
      </c>
      <c r="AU26" s="66">
        <f>'Baseline_2020 Population Proj'!L25</f>
        <v>0</v>
      </c>
      <c r="AV26" s="66">
        <f>'Baseline_2020 Population Proj'!O25</f>
        <v>0</v>
      </c>
      <c r="AW26" s="78">
        <f>'Baseline_2020 Population Proj'!R25</f>
        <v>0</v>
      </c>
      <c r="AY26" s="59">
        <v>0</v>
      </c>
      <c r="BA26" s="66">
        <f>MAX(Table136[[#This Row],[IPC 4]],Table136[[#This Row],[SAM]],Table136[[#This Row],[Gap]])</f>
        <v>2482</v>
      </c>
      <c r="BB26" s="79">
        <f>Table136[[#This Row],[Overall Intersectorial Final PiN]]-BA26</f>
        <v>3372.6051879031438</v>
      </c>
      <c r="BC26" s="62">
        <f>Table136[[#This Row],[Overall Intersectorial Final PiN]]*0.07</f>
        <v>409.82236315322012</v>
      </c>
    </row>
    <row r="27" spans="1:55" x14ac:dyDescent="0.2">
      <c r="A27" s="223" t="s">
        <v>15</v>
      </c>
      <c r="B27" s="223" t="s">
        <v>20</v>
      </c>
      <c r="C27" s="223" t="s">
        <v>518</v>
      </c>
      <c r="D27" s="209">
        <f>'Baseline_2020 Population Proj'!C26</f>
        <v>94146.152639433596</v>
      </c>
      <c r="E27" s="209">
        <v>80976</v>
      </c>
      <c r="F27" s="206"/>
      <c r="G27" s="52"/>
      <c r="H27" s="52">
        <v>7738.8119657314674</v>
      </c>
      <c r="I27" s="52">
        <v>10554.737648</v>
      </c>
      <c r="J27" s="52">
        <v>10594.521808000001</v>
      </c>
      <c r="K27" s="52">
        <v>8847.240238618795</v>
      </c>
      <c r="L27" s="52">
        <v>3190</v>
      </c>
      <c r="M27" s="52">
        <v>21993</v>
      </c>
      <c r="N27" s="52">
        <v>24293</v>
      </c>
      <c r="O27" s="52">
        <v>8098</v>
      </c>
      <c r="P27" s="52">
        <v>32391</v>
      </c>
      <c r="Q27" s="51">
        <v>13472.165504000001</v>
      </c>
      <c r="R27" s="52">
        <v>7813.8559923199991</v>
      </c>
      <c r="S27" s="52"/>
      <c r="T27" s="74">
        <v>1771</v>
      </c>
      <c r="U27" s="74"/>
      <c r="V27" s="52"/>
      <c r="W27" s="52">
        <v>140.77929366644275</v>
      </c>
      <c r="X27" s="52">
        <v>115.29824151281667</v>
      </c>
      <c r="Y27" s="52">
        <v>0</v>
      </c>
      <c r="Z27" s="52"/>
      <c r="AA27" s="52"/>
      <c r="AB27" s="66">
        <v>0</v>
      </c>
      <c r="AC27" s="52">
        <v>0</v>
      </c>
      <c r="AD27" s="52">
        <v>0</v>
      </c>
      <c r="AE27" s="52">
        <v>0</v>
      </c>
      <c r="AF27" s="52">
        <v>0</v>
      </c>
      <c r="AG27" s="84"/>
      <c r="AH27"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32391</v>
      </c>
      <c r="AJ27" s="59">
        <f>Table1345[[#This Row],[FSC PiN]]</f>
        <v>32391</v>
      </c>
      <c r="AK27" s="59">
        <f>Table1345[[#This Row],[Education PiN]]</f>
        <v>21993</v>
      </c>
      <c r="AL27" s="59">
        <f>Table1345[[#This Row],[Nutrition PiN]]</f>
        <v>0</v>
      </c>
      <c r="AM27" s="59">
        <f>Table1345[[#This Row],[WASH_PiN]]</f>
        <v>0</v>
      </c>
      <c r="AN27" s="59">
        <f>Table1345[[#This Row],[Health PiN]]</f>
        <v>0</v>
      </c>
      <c r="AO27" s="59">
        <f>Table1345[[#This Row],[Protection/GBV PiN]]</f>
        <v>12970.421302982129</v>
      </c>
      <c r="AP27" s="59">
        <f>Table1345[[#This Row],[CP_PiN]]</f>
        <v>10594.521808000001</v>
      </c>
      <c r="AQ27" s="59">
        <f>Table1345[[#This Row],[Shelter/NFIs PiN]]</f>
        <v>0</v>
      </c>
      <c r="AR27" s="59">
        <f>Table1345[[#This Row],[CCCM_PiN]]</f>
        <v>0</v>
      </c>
      <c r="AT27" s="79">
        <f>Table136[[#This Row],[Overall Intersectorial Final PiN]]-(Table8[[#This Row],[IDPs]]+Table8[[#This Row],[Returnee Migrants]]+Table8[[#This Row],[Refugees]])</f>
        <v>32391</v>
      </c>
      <c r="AU27" s="66">
        <f>'Baseline_2020 Population Proj'!L26</f>
        <v>0</v>
      </c>
      <c r="AV27" s="66">
        <f>'Baseline_2020 Population Proj'!O26</f>
        <v>0</v>
      </c>
      <c r="AW27" s="78">
        <f>'Baseline_2020 Population Proj'!R26</f>
        <v>0</v>
      </c>
      <c r="AY27" s="59">
        <v>51083</v>
      </c>
      <c r="BA27" s="66">
        <f>MAX(Table136[[#This Row],[IPC 4]],Table136[[#This Row],[SAM]],Table136[[#This Row],[Gap]])</f>
        <v>8098</v>
      </c>
      <c r="BB27" s="79">
        <f>Table136[[#This Row],[Overall Intersectorial Final PiN]]-BA27</f>
        <v>24293</v>
      </c>
      <c r="BC27" s="62">
        <f>Table136[[#This Row],[Overall Intersectorial Final PiN]]*0.07</f>
        <v>2267.3700000000003</v>
      </c>
    </row>
    <row r="28" spans="1:55" x14ac:dyDescent="0.2">
      <c r="A28" s="223" t="s">
        <v>15</v>
      </c>
      <c r="B28" s="223" t="s">
        <v>21</v>
      </c>
      <c r="C28" s="223" t="s">
        <v>518</v>
      </c>
      <c r="D28" s="209">
        <f>'Baseline_2020 Population Proj'!C27</f>
        <v>157228.14389338146</v>
      </c>
      <c r="E28" s="209">
        <v>135234</v>
      </c>
      <c r="F28" s="206"/>
      <c r="G28" s="52"/>
      <c r="H28" s="52"/>
      <c r="I28" s="52"/>
      <c r="J28" s="52"/>
      <c r="K28" s="52">
        <v>12864.383455920242</v>
      </c>
      <c r="L28" s="52">
        <v>3105</v>
      </c>
      <c r="M28" s="52"/>
      <c r="N28" s="52">
        <v>33809</v>
      </c>
      <c r="O28" s="52">
        <v>6762</v>
      </c>
      <c r="P28" s="52">
        <v>40571</v>
      </c>
      <c r="Q28" s="51">
        <v>22131.078560000002</v>
      </c>
      <c r="R28" s="52">
        <v>12836.0255648</v>
      </c>
      <c r="S28" s="52"/>
      <c r="T28" s="74">
        <v>2519</v>
      </c>
      <c r="U28" s="74">
        <v>47168.443168014441</v>
      </c>
      <c r="V28" s="52"/>
      <c r="W28" s="52">
        <v>226.40852720646927</v>
      </c>
      <c r="X28" s="52">
        <v>0</v>
      </c>
      <c r="Y28" s="52">
        <v>0</v>
      </c>
      <c r="Z28" s="52"/>
      <c r="AA28" s="52"/>
      <c r="AB28" s="66">
        <v>0</v>
      </c>
      <c r="AC28" s="52">
        <v>0</v>
      </c>
      <c r="AD28" s="52">
        <v>0</v>
      </c>
      <c r="AE28" s="52">
        <v>0</v>
      </c>
      <c r="AF28" s="52">
        <v>0</v>
      </c>
      <c r="AG28" s="84"/>
      <c r="AH28"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47168.443168014441</v>
      </c>
      <c r="AJ28" s="59">
        <f>Table1345[[#This Row],[FSC PiN]]</f>
        <v>40571</v>
      </c>
      <c r="AK28" s="59">
        <f>Table1345[[#This Row],[Education PiN]]</f>
        <v>0</v>
      </c>
      <c r="AL28" s="59">
        <f>Table1345[[#This Row],[Nutrition PiN]]</f>
        <v>0</v>
      </c>
      <c r="AM28" s="59">
        <f>Table1345[[#This Row],[WASH_PiN]]</f>
        <v>0</v>
      </c>
      <c r="AN28" s="59">
        <f>Table1345[[#This Row],[Health PiN]]</f>
        <v>47168.443168014441</v>
      </c>
      <c r="AO28" s="59">
        <f>Table1345[[#This Row],[Protection/GBV PiN]]</f>
        <v>21661.164156047271</v>
      </c>
      <c r="AP28" s="59">
        <f>Table1345[[#This Row],[CP_PiN]]</f>
        <v>0</v>
      </c>
      <c r="AQ28" s="59">
        <f>Table1345[[#This Row],[Shelter/NFIs PiN]]</f>
        <v>0</v>
      </c>
      <c r="AR28" s="59">
        <f>Table1345[[#This Row],[CCCM_PiN]]</f>
        <v>0</v>
      </c>
      <c r="AT28" s="79">
        <f>Table136[[#This Row],[Overall Intersectorial Final PiN]]-(Table8[[#This Row],[IDPs]]+Table8[[#This Row],[Returnee Migrants]]+Table8[[#This Row],[Refugees]])</f>
        <v>47168.443168014441</v>
      </c>
      <c r="AU28" s="66">
        <f>'Baseline_2020 Population Proj'!L27</f>
        <v>0</v>
      </c>
      <c r="AV28" s="66">
        <f>'Baseline_2020 Population Proj'!O27</f>
        <v>0</v>
      </c>
      <c r="AW28" s="78">
        <f>'Baseline_2020 Population Proj'!R27</f>
        <v>0</v>
      </c>
      <c r="AY28" s="59">
        <v>45741</v>
      </c>
      <c r="BA28" s="66">
        <f>MAX(Table136[[#This Row],[IPC 4]],Table136[[#This Row],[SAM]],Table136[[#This Row],[Gap]])</f>
        <v>6762</v>
      </c>
      <c r="BB28" s="79">
        <f>Table136[[#This Row],[Overall Intersectorial Final PiN]]-BA28</f>
        <v>40406.443168014441</v>
      </c>
      <c r="BC28" s="62">
        <f>Table136[[#This Row],[Overall Intersectorial Final PiN]]*0.07</f>
        <v>3301.7910217610111</v>
      </c>
    </row>
    <row r="29" spans="1:55" x14ac:dyDescent="0.2">
      <c r="A29" s="223" t="s">
        <v>25</v>
      </c>
      <c r="B29" s="223" t="s">
        <v>26</v>
      </c>
      <c r="C29" s="223" t="s">
        <v>518</v>
      </c>
      <c r="D29" s="209">
        <f>'Baseline_2020 Population Proj'!C28</f>
        <v>148637.05770676341</v>
      </c>
      <c r="E29" s="209">
        <v>131405</v>
      </c>
      <c r="F29" s="206"/>
      <c r="G29" s="52"/>
      <c r="H29" s="52"/>
      <c r="I29" s="52">
        <v>16349.967382666666</v>
      </c>
      <c r="J29" s="52">
        <v>16414.977193333332</v>
      </c>
      <c r="K29" s="52">
        <v>9019.2632678272366</v>
      </c>
      <c r="L29" s="52">
        <v>1111</v>
      </c>
      <c r="M29" s="52">
        <v>19963</v>
      </c>
      <c r="N29" s="52">
        <v>19711</v>
      </c>
      <c r="O29" s="52">
        <v>6570</v>
      </c>
      <c r="P29" s="52">
        <v>26281</v>
      </c>
      <c r="Q29" s="51">
        <v>22014.676288000002</v>
      </c>
      <c r="R29" s="52">
        <v>12975.691843840001</v>
      </c>
      <c r="S29" s="52">
        <v>19554.691311901803</v>
      </c>
      <c r="T29" s="74">
        <v>821.24999999999989</v>
      </c>
      <c r="U29" s="74">
        <v>44591.117312029026</v>
      </c>
      <c r="V29" s="52"/>
      <c r="W29" s="52">
        <v>66.886675968043534</v>
      </c>
      <c r="X29" s="52">
        <v>490.50229043231934</v>
      </c>
      <c r="Y29" s="52">
        <v>0</v>
      </c>
      <c r="Z29" s="52"/>
      <c r="AA29" s="52"/>
      <c r="AB29" s="66">
        <v>0</v>
      </c>
      <c r="AC29" s="52">
        <v>0</v>
      </c>
      <c r="AD29" s="52">
        <v>0</v>
      </c>
      <c r="AE29" s="52">
        <v>0</v>
      </c>
      <c r="AF29" s="52">
        <v>0</v>
      </c>
      <c r="AG29" s="84"/>
      <c r="AH29"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44591.117312029026</v>
      </c>
      <c r="AJ29" s="59">
        <f>Table1345[[#This Row],[FSC PiN]]</f>
        <v>26281</v>
      </c>
      <c r="AK29" s="59">
        <f>Table1345[[#This Row],[Education PiN]]</f>
        <v>0</v>
      </c>
      <c r="AL29" s="59">
        <f>Table1345[[#This Row],[Nutrition PiN]]</f>
        <v>0</v>
      </c>
      <c r="AM29" s="59">
        <f>Table1345[[#This Row],[WASH_PiN]]</f>
        <v>0</v>
      </c>
      <c r="AN29" s="59">
        <f>Table1345[[#This Row],[Health PiN]]</f>
        <v>44591.117312029026</v>
      </c>
      <c r="AO29" s="59">
        <f>Table1345[[#This Row],[Protection/GBV PiN]]</f>
        <v>20353.288495548699</v>
      </c>
      <c r="AP29" s="59">
        <f>Table1345[[#This Row],[CP_PiN]]</f>
        <v>16414.977193333332</v>
      </c>
      <c r="AQ29" s="59">
        <f>Table1345[[#This Row],[Shelter/NFIs PiN]]</f>
        <v>0</v>
      </c>
      <c r="AR29" s="59">
        <f>Table1345[[#This Row],[CCCM_PiN]]</f>
        <v>0</v>
      </c>
      <c r="AT29" s="79">
        <f>Table136[[#This Row],[Overall Intersectorial Final PiN]]-(Table8[[#This Row],[IDPs]]+Table8[[#This Row],[Returnee Migrants]]+Table8[[#This Row],[Refugees]])</f>
        <v>44591.117312029026</v>
      </c>
      <c r="AU29" s="66">
        <f>'Baseline_2020 Population Proj'!L28</f>
        <v>0</v>
      </c>
      <c r="AV29" s="66">
        <v>0</v>
      </c>
      <c r="AW29" s="78">
        <f>'Baseline_2020 Population Proj'!R28</f>
        <v>0</v>
      </c>
      <c r="AY29" s="59">
        <v>24778</v>
      </c>
      <c r="BA29" s="66">
        <f>MAX(Table136[[#This Row],[IPC 4]],Table136[[#This Row],[SAM]],Table136[[#This Row],[Gap]])</f>
        <v>6570</v>
      </c>
      <c r="BB29" s="79">
        <f>Table136[[#This Row],[Overall Intersectorial Final PiN]]-BA29</f>
        <v>38021.117312029026</v>
      </c>
      <c r="BC29" s="62">
        <f>Table136[[#This Row],[Overall Intersectorial Final PiN]]*0.07</f>
        <v>3121.3782118420322</v>
      </c>
    </row>
    <row r="30" spans="1:55" x14ac:dyDescent="0.2">
      <c r="A30" s="223" t="s">
        <v>25</v>
      </c>
      <c r="B30" s="223" t="s">
        <v>27</v>
      </c>
      <c r="C30" s="223" t="s">
        <v>518</v>
      </c>
      <c r="D30" s="209">
        <f>'Baseline_2020 Population Proj'!C29</f>
        <v>278332.78431174275</v>
      </c>
      <c r="E30" s="209">
        <v>246065</v>
      </c>
      <c r="F30" s="206"/>
      <c r="G30" s="52"/>
      <c r="H30" s="52">
        <v>29060.004847988515</v>
      </c>
      <c r="I30" s="52"/>
      <c r="J30" s="52"/>
      <c r="K30" s="52">
        <v>37220.910493108291</v>
      </c>
      <c r="L30" s="52">
        <v>2151</v>
      </c>
      <c r="M30" s="52">
        <v>41665</v>
      </c>
      <c r="N30" s="52">
        <v>49213</v>
      </c>
      <c r="O30" s="52">
        <v>12303</v>
      </c>
      <c r="P30" s="52">
        <v>61516</v>
      </c>
      <c r="Q30" s="51">
        <v>39911.409122400008</v>
      </c>
      <c r="R30" s="52">
        <v>24745.073655888005</v>
      </c>
      <c r="S30" s="52">
        <v>46604.041405158197</v>
      </c>
      <c r="T30" s="74">
        <v>582.90000000000009</v>
      </c>
      <c r="U30" s="74">
        <v>83499.835293522818</v>
      </c>
      <c r="V30" s="52"/>
      <c r="W30" s="52">
        <v>0</v>
      </c>
      <c r="X30" s="52">
        <v>333.99934117409128</v>
      </c>
      <c r="Y30" s="52">
        <v>0</v>
      </c>
      <c r="Z30" s="52"/>
      <c r="AA30" s="52"/>
      <c r="AB30" s="66">
        <v>0</v>
      </c>
      <c r="AC30" s="52">
        <v>0</v>
      </c>
      <c r="AD30" s="52">
        <v>0</v>
      </c>
      <c r="AE30" s="52">
        <v>0</v>
      </c>
      <c r="AF30" s="52">
        <v>0</v>
      </c>
      <c r="AG30" s="84"/>
      <c r="AH30"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83499.835293522818</v>
      </c>
      <c r="AJ30" s="59">
        <f>Table1345[[#This Row],[FSC PiN]]</f>
        <v>61516</v>
      </c>
      <c r="AK30" s="59">
        <f>Table1345[[#This Row],[Education PiN]]</f>
        <v>41665</v>
      </c>
      <c r="AL30" s="59">
        <f>Table1345[[#This Row],[Nutrition PiN]]</f>
        <v>0</v>
      </c>
      <c r="AM30" s="59">
        <f>Table1345[[#This Row],[WASH_PiN]]</f>
        <v>0</v>
      </c>
      <c r="AN30" s="59">
        <f>Table1345[[#This Row],[Health PiN]]</f>
        <v>83499.835293522818</v>
      </c>
      <c r="AO30" s="59">
        <f>Table1345[[#This Row],[Protection/GBV PiN]]</f>
        <v>38112.887487603017</v>
      </c>
      <c r="AP30" s="59">
        <f>Table1345[[#This Row],[CP_PiN]]</f>
        <v>29060.004847988515</v>
      </c>
      <c r="AQ30" s="59">
        <f>Table1345[[#This Row],[Shelter/NFIs PiN]]</f>
        <v>0</v>
      </c>
      <c r="AR30" s="59">
        <f>Table1345[[#This Row],[CCCM_PiN]]</f>
        <v>0</v>
      </c>
      <c r="AT30" s="79">
        <f>Table136[[#This Row],[Overall Intersectorial Final PiN]]-(Table8[[#This Row],[IDPs]]+Table8[[#This Row],[Returnee Migrants]]+Table8[[#This Row],[Refugees]])</f>
        <v>83499.835293522818</v>
      </c>
      <c r="AU30" s="66">
        <f>'Baseline_2020 Population Proj'!L29</f>
        <v>0</v>
      </c>
      <c r="AV30" s="66">
        <f>'Baseline_2020 Population Proj'!O29</f>
        <v>0</v>
      </c>
      <c r="AW30" s="78">
        <f>'Baseline_2020 Population Proj'!R29</f>
        <v>0</v>
      </c>
      <c r="AY30" s="59">
        <v>58210</v>
      </c>
      <c r="BA30" s="66">
        <f>MAX(Table136[[#This Row],[IPC 4]],Table136[[#This Row],[SAM]],Table136[[#This Row],[Gap]])</f>
        <v>12303</v>
      </c>
      <c r="BB30" s="79">
        <f>Table136[[#This Row],[Overall Intersectorial Final PiN]]-BA30</f>
        <v>71196.835293522818</v>
      </c>
      <c r="BC30" s="62">
        <f>Table136[[#This Row],[Overall Intersectorial Final PiN]]*0.07</f>
        <v>5844.9884705465975</v>
      </c>
    </row>
    <row r="31" spans="1:55" x14ac:dyDescent="0.2">
      <c r="A31" s="223" t="s">
        <v>25</v>
      </c>
      <c r="B31" s="223" t="s">
        <v>28</v>
      </c>
      <c r="C31" s="223" t="s">
        <v>518</v>
      </c>
      <c r="D31" s="209">
        <f>'Baseline_2020 Population Proj'!C30</f>
        <v>87794.943872471573</v>
      </c>
      <c r="E31" s="209">
        <v>77617</v>
      </c>
      <c r="F31" s="206"/>
      <c r="G31" s="52"/>
      <c r="H31" s="52"/>
      <c r="I31" s="52"/>
      <c r="J31" s="52"/>
      <c r="K31" s="52">
        <v>3858.8383305312368</v>
      </c>
      <c r="L31" s="52">
        <v>1430</v>
      </c>
      <c r="M31" s="52"/>
      <c r="N31" s="52">
        <v>15521</v>
      </c>
      <c r="O31" s="52">
        <v>0</v>
      </c>
      <c r="P31" s="52">
        <v>15523</v>
      </c>
      <c r="Q31" s="51">
        <v>12671.771420000001</v>
      </c>
      <c r="R31" s="52">
        <v>7856.498280400001</v>
      </c>
      <c r="S31" s="52"/>
      <c r="T31" s="74">
        <v>1311</v>
      </c>
      <c r="U31" s="74"/>
      <c r="V31" s="52"/>
      <c r="W31" s="52">
        <v>0</v>
      </c>
      <c r="X31" s="52">
        <v>0</v>
      </c>
      <c r="Y31" s="52">
        <v>0</v>
      </c>
      <c r="Z31" s="52"/>
      <c r="AA31" s="52"/>
      <c r="AB31" s="66">
        <v>0</v>
      </c>
      <c r="AC31" s="52">
        <v>0</v>
      </c>
      <c r="AD31" s="52">
        <v>0</v>
      </c>
      <c r="AE31" s="52">
        <v>0</v>
      </c>
      <c r="AF31" s="52">
        <v>0</v>
      </c>
      <c r="AG31" s="84"/>
      <c r="AH31"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15523</v>
      </c>
      <c r="AJ31" s="59">
        <f>Table1345[[#This Row],[FSC PiN]]</f>
        <v>15523</v>
      </c>
      <c r="AK31" s="59">
        <f>Table1345[[#This Row],[Education PiN]]</f>
        <v>0</v>
      </c>
      <c r="AL31" s="59">
        <f>Table1345[[#This Row],[Nutrition PiN]]</f>
        <v>0</v>
      </c>
      <c r="AM31" s="59">
        <f>Table1345[[#This Row],[WASH_PiN]]</f>
        <v>0</v>
      </c>
      <c r="AN31" s="59">
        <f>Table1345[[#This Row],[Health PiN]]</f>
        <v>0</v>
      </c>
      <c r="AO31" s="59">
        <f>Table1345[[#This Row],[Protection/GBV PiN]]</f>
        <v>12022.007490300379</v>
      </c>
      <c r="AP31" s="59">
        <f>Table1345[[#This Row],[CP_PiN]]</f>
        <v>0</v>
      </c>
      <c r="AQ31" s="59">
        <f>Table1345[[#This Row],[Shelter/NFIs PiN]]</f>
        <v>0</v>
      </c>
      <c r="AR31" s="59">
        <f>Table1345[[#This Row],[CCCM_PiN]]</f>
        <v>0</v>
      </c>
      <c r="AT31" s="79">
        <f>Table136[[#This Row],[Overall Intersectorial Final PiN]]-(Table8[[#This Row],[IDPs]]+Table8[[#This Row],[Returnee Migrants]]+Table8[[#This Row],[Refugees]])</f>
        <v>15523</v>
      </c>
      <c r="AU31" s="66">
        <f>'Baseline_2020 Population Proj'!L30</f>
        <v>0</v>
      </c>
      <c r="AV31" s="66">
        <f>'Baseline_2020 Population Proj'!O30</f>
        <v>0</v>
      </c>
      <c r="AW31" s="78">
        <f>'Baseline_2020 Population Proj'!R30</f>
        <v>0</v>
      </c>
      <c r="AY31" s="59">
        <v>22600</v>
      </c>
      <c r="BA31" s="66">
        <f>MAX(Table136[[#This Row],[IPC 4]],Table136[[#This Row],[SAM]],Table136[[#This Row],[Gap]])</f>
        <v>1311</v>
      </c>
      <c r="BB31" s="79">
        <f>Table136[[#This Row],[Overall Intersectorial Final PiN]]-BA31</f>
        <v>14212</v>
      </c>
      <c r="BC31" s="62">
        <f>Table136[[#This Row],[Overall Intersectorial Final PiN]]*0.07</f>
        <v>1086.6100000000001</v>
      </c>
    </row>
    <row r="32" spans="1:55" x14ac:dyDescent="0.2">
      <c r="A32" s="223" t="s">
        <v>25</v>
      </c>
      <c r="B32" s="223" t="s">
        <v>102</v>
      </c>
      <c r="C32" s="223" t="s">
        <v>518</v>
      </c>
      <c r="D32" s="209">
        <f>'Baseline_2020 Population Proj'!C31</f>
        <v>144722.854088055</v>
      </c>
      <c r="E32" s="209">
        <v>127945</v>
      </c>
      <c r="F32" s="206"/>
      <c r="G32" s="52"/>
      <c r="H32" s="52"/>
      <c r="I32" s="52"/>
      <c r="J32" s="52"/>
      <c r="K32" s="52">
        <v>13555.379738560658</v>
      </c>
      <c r="L32" s="52">
        <v>1863</v>
      </c>
      <c r="M32" s="52">
        <v>43841</v>
      </c>
      <c r="N32" s="52">
        <v>25589</v>
      </c>
      <c r="O32" s="52">
        <v>0</v>
      </c>
      <c r="P32" s="52">
        <v>25589</v>
      </c>
      <c r="Q32" s="51">
        <v>20565.920552000003</v>
      </c>
      <c r="R32" s="52">
        <v>12750.870742240002</v>
      </c>
      <c r="S32" s="52">
        <v>19039.738683824522</v>
      </c>
      <c r="T32" s="74">
        <v>577.34999999999991</v>
      </c>
      <c r="U32" s="74"/>
      <c r="V32" s="52"/>
      <c r="W32" s="52">
        <v>221.51457258375765</v>
      </c>
      <c r="X32" s="52">
        <v>212.65398968040736</v>
      </c>
      <c r="Y32" s="52">
        <v>16643.128220126328</v>
      </c>
      <c r="Z32" s="52"/>
      <c r="AA32" s="52"/>
      <c r="AB32" s="66">
        <v>0</v>
      </c>
      <c r="AC32" s="52">
        <v>0</v>
      </c>
      <c r="AD32" s="52">
        <v>0</v>
      </c>
      <c r="AE32" s="52">
        <v>0</v>
      </c>
      <c r="AF32" s="52">
        <v>0</v>
      </c>
      <c r="AG32" s="84"/>
      <c r="AH32" s="89">
        <v>25589</v>
      </c>
      <c r="AJ32" s="59">
        <f>Table1345[[#This Row],[FSC PiN]]</f>
        <v>25589</v>
      </c>
      <c r="AK32" s="59">
        <f>Table1345[[#This Row],[Education PiN]]</f>
        <v>43841</v>
      </c>
      <c r="AL32" s="59">
        <f>Table1345[[#This Row],[Nutrition PiN]]</f>
        <v>16643.128220126328</v>
      </c>
      <c r="AM32" s="59">
        <f>Table1345[[#This Row],[WASH_PiN]]</f>
        <v>0</v>
      </c>
      <c r="AN32" s="59">
        <f>Table1345[[#This Row],[Health PiN]]</f>
        <v>19039.738683824522</v>
      </c>
      <c r="AO32" s="59">
        <f>Table1345[[#This Row],[Protection/GBV PiN]]</f>
        <v>19817.305634268821</v>
      </c>
      <c r="AP32" s="59">
        <f>Table1345[[#This Row],[CP_PiN]]</f>
        <v>0</v>
      </c>
      <c r="AQ32" s="59">
        <f>Table1345[[#This Row],[Shelter/NFIs PiN]]</f>
        <v>0</v>
      </c>
      <c r="AR32" s="59">
        <f>Table1345[[#This Row],[CCCM_PiN]]</f>
        <v>0</v>
      </c>
      <c r="AT32" s="79">
        <f>Table136[[#This Row],[Overall Intersectorial Final PiN]]-(Table8[[#This Row],[IDPs]]+Table8[[#This Row],[Returnee Migrants]]+Table8[[#This Row],[Refugees]])</f>
        <v>25589</v>
      </c>
      <c r="AU32" s="66">
        <f>'Baseline_2020 Population Proj'!L31</f>
        <v>0</v>
      </c>
      <c r="AV32" s="66">
        <f>'Baseline_2020 Population Proj'!O31</f>
        <v>0</v>
      </c>
      <c r="AW32" s="78">
        <f>'Baseline_2020 Population Proj'!R31</f>
        <v>0</v>
      </c>
      <c r="AY32" s="59">
        <v>27498</v>
      </c>
      <c r="BA32" s="66">
        <f>MAX(Table136[[#This Row],[IPC 4]],Table136[[#This Row],[SAM]],Table136[[#This Row],[Gap]])</f>
        <v>577.34999999999991</v>
      </c>
      <c r="BB32" s="79">
        <f>Table136[[#This Row],[Overall Intersectorial Final PiN]]-BA32</f>
        <v>25011.65</v>
      </c>
      <c r="BC32" s="62">
        <f>Table136[[#This Row],[Overall Intersectorial Final PiN]]*0.07</f>
        <v>1791.2300000000002</v>
      </c>
    </row>
    <row r="33" spans="1:55" x14ac:dyDescent="0.2">
      <c r="A33" s="223" t="s">
        <v>25</v>
      </c>
      <c r="B33" s="223" t="s">
        <v>33</v>
      </c>
      <c r="C33" s="223" t="s">
        <v>517</v>
      </c>
      <c r="D33" s="209">
        <f>'Baseline_2020 Population Proj'!C32</f>
        <v>76698.102387068706</v>
      </c>
      <c r="E33" s="209"/>
      <c r="F33" s="206"/>
      <c r="G33" s="52"/>
      <c r="H33" s="52"/>
      <c r="I33" s="52"/>
      <c r="J33" s="52"/>
      <c r="K33" s="52"/>
      <c r="L33" s="52"/>
      <c r="M33" s="52"/>
      <c r="N33" s="52"/>
      <c r="O33" s="52"/>
      <c r="P33" s="52">
        <v>33476.093573562634</v>
      </c>
      <c r="Q33" s="51">
        <v>11294.1281712</v>
      </c>
      <c r="R33" s="52">
        <v>9035.30253696</v>
      </c>
      <c r="S33" s="52">
        <v>10090.402350042761</v>
      </c>
      <c r="T33" s="74">
        <v>384.29999999999995</v>
      </c>
      <c r="U33" s="74"/>
      <c r="V33" s="52"/>
      <c r="W33" s="52">
        <v>103.54243822254274</v>
      </c>
      <c r="X33" s="52">
        <v>218.58959180314588</v>
      </c>
      <c r="Y33" s="52">
        <v>8513.4893649646256</v>
      </c>
      <c r="Z33" s="52"/>
      <c r="AA33" s="52"/>
      <c r="AB33" s="66">
        <v>0</v>
      </c>
      <c r="AC33" s="52">
        <v>0</v>
      </c>
      <c r="AD33" s="52">
        <v>0</v>
      </c>
      <c r="AE33" s="52">
        <v>0</v>
      </c>
      <c r="AF33" s="52">
        <v>0</v>
      </c>
      <c r="AG33" s="84"/>
      <c r="AH33"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33476.093573562634</v>
      </c>
      <c r="AJ33" s="59">
        <f>Table1345[[#This Row],[FSC PiN]]</f>
        <v>33476.093573562634</v>
      </c>
      <c r="AK33" s="59">
        <f>Table1345[[#This Row],[Education PiN]]</f>
        <v>0</v>
      </c>
      <c r="AL33" s="59">
        <f>Table1345[[#This Row],[Nutrition PiN]]</f>
        <v>8513.4893649646256</v>
      </c>
      <c r="AM33" s="59">
        <f>Table1345[[#This Row],[WASH_PiN]]</f>
        <v>0</v>
      </c>
      <c r="AN33" s="59">
        <f>Table1345[[#This Row],[Health PiN]]</f>
        <v>10090.402350042761</v>
      </c>
      <c r="AO33" s="59">
        <f>Table1345[[#This Row],[Protection/GBV PiN]]</f>
        <v>10502.485914548004</v>
      </c>
      <c r="AP33" s="59">
        <f>Table1345[[#This Row],[CP_PiN]]</f>
        <v>0</v>
      </c>
      <c r="AQ33" s="59">
        <f>Table1345[[#This Row],[Shelter/NFIs PiN]]</f>
        <v>0</v>
      </c>
      <c r="AR33" s="59">
        <f>Table1345[[#This Row],[CCCM_PiN]]</f>
        <v>0</v>
      </c>
      <c r="AT33" s="79">
        <f>Table136[[#This Row],[Overall Intersectorial Final PiN]]-(Table8[[#This Row],[IDPs]]+Table8[[#This Row],[Returnee Migrants]]+Table8[[#This Row],[Refugees]])</f>
        <v>33476.093573562634</v>
      </c>
      <c r="AU33" s="66">
        <f>'Baseline_2020 Population Proj'!L32</f>
        <v>0</v>
      </c>
      <c r="AV33" s="66">
        <f>'Baseline_2020 Population Proj'!O32</f>
        <v>0</v>
      </c>
      <c r="AW33" s="78">
        <f>'Baseline_2020 Population Proj'!R32</f>
        <v>0</v>
      </c>
      <c r="AY33" s="59">
        <v>29494</v>
      </c>
      <c r="BA33" s="66">
        <f>MAX(Table136[[#This Row],[IPC 4]],Table136[[#This Row],[SAM]],Table136[[#This Row],[Gap]])</f>
        <v>384.29999999999995</v>
      </c>
      <c r="BB33" s="79">
        <f>Table136[[#This Row],[Overall Intersectorial Final PiN]]-BA33</f>
        <v>33091.793573562631</v>
      </c>
      <c r="BC33" s="62">
        <f>Table136[[#This Row],[Overall Intersectorial Final PiN]]*0.07</f>
        <v>2343.3265501493847</v>
      </c>
    </row>
    <row r="34" spans="1:55" x14ac:dyDescent="0.2">
      <c r="A34" s="223" t="s">
        <v>25</v>
      </c>
      <c r="B34" s="223" t="s">
        <v>29</v>
      </c>
      <c r="C34" s="223" t="s">
        <v>518</v>
      </c>
      <c r="D34" s="209">
        <f>'Baseline_2020 Population Proj'!C33</f>
        <v>164846.85859675604</v>
      </c>
      <c r="E34" s="209">
        <v>145736</v>
      </c>
      <c r="F34" s="206"/>
      <c r="G34" s="52"/>
      <c r="H34" s="52">
        <v>17239.531889949307</v>
      </c>
      <c r="I34" s="52">
        <v>21143.698915733334</v>
      </c>
      <c r="J34" s="52">
        <v>21215.299657066666</v>
      </c>
      <c r="K34" s="52">
        <v>18834.679197576337</v>
      </c>
      <c r="L34" s="52">
        <v>2989</v>
      </c>
      <c r="M34" s="52">
        <v>21899</v>
      </c>
      <c r="N34" s="52">
        <v>51008</v>
      </c>
      <c r="O34" s="52">
        <v>14574</v>
      </c>
      <c r="P34" s="52">
        <v>65582</v>
      </c>
      <c r="Q34" s="51">
        <v>24082.828912800003</v>
      </c>
      <c r="R34" s="52">
        <v>14931.353925936002</v>
      </c>
      <c r="S34" s="52"/>
      <c r="T34" s="74">
        <v>2804</v>
      </c>
      <c r="U34" s="74">
        <v>49454.057579026812</v>
      </c>
      <c r="V34" s="52"/>
      <c r="W34" s="52">
        <v>529.86490263243013</v>
      </c>
      <c r="X34" s="52">
        <v>1225.7541414230216</v>
      </c>
      <c r="Y34" s="52">
        <v>18957.388738626945</v>
      </c>
      <c r="Z34" s="52"/>
      <c r="AA34" s="52"/>
      <c r="AB34" s="66">
        <v>41211.714649189009</v>
      </c>
      <c r="AC34" s="52">
        <v>0</v>
      </c>
      <c r="AD34" s="52">
        <v>0</v>
      </c>
      <c r="AE34" s="52">
        <v>0</v>
      </c>
      <c r="AF34" s="52">
        <v>0</v>
      </c>
      <c r="AG34" s="84"/>
      <c r="AH34"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65582</v>
      </c>
      <c r="AJ34" s="59">
        <f>Table1345[[#This Row],[FSC PiN]]</f>
        <v>65582</v>
      </c>
      <c r="AK34" s="59">
        <f>Table1345[[#This Row],[Education PiN]]</f>
        <v>21899</v>
      </c>
      <c r="AL34" s="59">
        <f>Table1345[[#This Row],[Nutrition PiN]]</f>
        <v>18957.388738626945</v>
      </c>
      <c r="AM34" s="59">
        <f>Table1345[[#This Row],[WASH_PiN]]</f>
        <v>41211.714649189009</v>
      </c>
      <c r="AN34" s="59">
        <f>Table1345[[#This Row],[Health PiN]]</f>
        <v>0</v>
      </c>
      <c r="AO34" s="59">
        <f>Table1345[[#This Row],[Protection/GBV PiN]]</f>
        <v>22572.94191885788</v>
      </c>
      <c r="AP34" s="59">
        <f>Table1345[[#This Row],[CP_PiN]]</f>
        <v>21215.299657066666</v>
      </c>
      <c r="AQ34" s="59">
        <f>Table1345[[#This Row],[Shelter/NFIs PiN]]</f>
        <v>0</v>
      </c>
      <c r="AR34" s="59">
        <f>Table1345[[#This Row],[CCCM_PiN]]</f>
        <v>0</v>
      </c>
      <c r="AT34" s="79">
        <f>Table136[[#This Row],[Overall Intersectorial Final PiN]]-(Table8[[#This Row],[IDPs]]+Table8[[#This Row],[Returnee Migrants]]+Table8[[#This Row],[Refugees]])</f>
        <v>65582</v>
      </c>
      <c r="AU34" s="66">
        <f>'Baseline_2020 Population Proj'!L33</f>
        <v>0</v>
      </c>
      <c r="AV34" s="66">
        <f>'Baseline_2020 Population Proj'!O33</f>
        <v>0</v>
      </c>
      <c r="AW34" s="78">
        <f>'Baseline_2020 Population Proj'!R33</f>
        <v>0</v>
      </c>
      <c r="AY34" s="59">
        <v>58981</v>
      </c>
      <c r="BA34" s="66">
        <f>MAX(Table136[[#This Row],[IPC 4]],Table136[[#This Row],[SAM]],Table136[[#This Row],[Gap]])</f>
        <v>14574</v>
      </c>
      <c r="BB34" s="79">
        <f>Table136[[#This Row],[Overall Intersectorial Final PiN]]-BA34</f>
        <v>51008</v>
      </c>
      <c r="BC34" s="62">
        <f>Table136[[#This Row],[Overall Intersectorial Final PiN]]*0.07</f>
        <v>4590.7400000000007</v>
      </c>
    </row>
    <row r="35" spans="1:55" x14ac:dyDescent="0.2">
      <c r="A35" s="223" t="s">
        <v>25</v>
      </c>
      <c r="B35" s="223" t="s">
        <v>30</v>
      </c>
      <c r="C35" s="223" t="s">
        <v>518</v>
      </c>
      <c r="D35" s="209">
        <f>'Baseline_2020 Population Proj'!C34</f>
        <v>246935.032149031</v>
      </c>
      <c r="E35" s="209">
        <v>218307</v>
      </c>
      <c r="F35" s="206"/>
      <c r="G35" s="52"/>
      <c r="H35" s="52">
        <v>18922.374036287423</v>
      </c>
      <c r="I35" s="52"/>
      <c r="J35" s="52"/>
      <c r="K35" s="52">
        <v>22136.529516891544</v>
      </c>
      <c r="L35" s="52">
        <v>588</v>
      </c>
      <c r="M35" s="52"/>
      <c r="N35" s="52">
        <v>43661</v>
      </c>
      <c r="O35" s="52">
        <v>10915</v>
      </c>
      <c r="P35" s="52">
        <v>54576</v>
      </c>
      <c r="Q35" s="51">
        <v>36193.798379200001</v>
      </c>
      <c r="R35" s="52">
        <v>22440.154995104003</v>
      </c>
      <c r="S35" s="52"/>
      <c r="T35" s="74">
        <v>3738</v>
      </c>
      <c r="U35" s="74">
        <v>123467.5160745155</v>
      </c>
      <c r="V35" s="52"/>
      <c r="W35" s="52">
        <v>481.52331269061045</v>
      </c>
      <c r="X35" s="52">
        <v>185.2012741117731</v>
      </c>
      <c r="Y35" s="52">
        <v>0</v>
      </c>
      <c r="Z35" s="52"/>
      <c r="AA35" s="52"/>
      <c r="AB35" s="66">
        <v>0</v>
      </c>
      <c r="AC35" s="52">
        <v>0</v>
      </c>
      <c r="AD35" s="52">
        <v>0</v>
      </c>
      <c r="AE35" s="52">
        <v>0</v>
      </c>
      <c r="AF35" s="52">
        <v>0</v>
      </c>
      <c r="AG35" s="84"/>
      <c r="AH35"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123467.5160745155</v>
      </c>
      <c r="AJ35" s="59">
        <f>Table1345[[#This Row],[FSC PiN]]</f>
        <v>54576</v>
      </c>
      <c r="AK35" s="59">
        <f>Table1345[[#This Row],[Education PiN]]</f>
        <v>0</v>
      </c>
      <c r="AL35" s="59">
        <f>Table1345[[#This Row],[Nutrition PiN]]</f>
        <v>0</v>
      </c>
      <c r="AM35" s="59">
        <f>Table1345[[#This Row],[WASH_PiN]]</f>
        <v>0</v>
      </c>
      <c r="AN35" s="59">
        <f>Table1345[[#This Row],[Health PiN]]</f>
        <v>123467.5160745155</v>
      </c>
      <c r="AO35" s="59">
        <f>Table1345[[#This Row],[Protection/GBV PiN]]</f>
        <v>33813.50537025684</v>
      </c>
      <c r="AP35" s="59">
        <f>Table1345[[#This Row],[CP_PiN]]</f>
        <v>18922.374036287423</v>
      </c>
      <c r="AQ35" s="59">
        <f>Table1345[[#This Row],[Shelter/NFIs PiN]]</f>
        <v>0</v>
      </c>
      <c r="AR35" s="59">
        <f>Table1345[[#This Row],[CCCM_PiN]]</f>
        <v>0</v>
      </c>
      <c r="AT35" s="79">
        <f>Table136[[#This Row],[Overall Intersectorial Final PiN]]-(Table8[[#This Row],[IDPs]]+Table8[[#This Row],[Returnee Migrants]]+Table8[[#This Row],[Refugees]])</f>
        <v>123467.5160745155</v>
      </c>
      <c r="AU35" s="66">
        <f>'Baseline_2020 Population Proj'!L34</f>
        <v>0</v>
      </c>
      <c r="AV35" s="66">
        <f>'Baseline_2020 Population Proj'!O34</f>
        <v>0</v>
      </c>
      <c r="AW35" s="78">
        <f>'Baseline_2020 Population Proj'!R34</f>
        <v>0</v>
      </c>
      <c r="AY35" s="59">
        <v>52972</v>
      </c>
      <c r="BA35" s="66">
        <f>MAX(Table136[[#This Row],[IPC 4]],Table136[[#This Row],[SAM]],Table136[[#This Row],[Gap]])</f>
        <v>10915</v>
      </c>
      <c r="BB35" s="79">
        <f>Table136[[#This Row],[Overall Intersectorial Final PiN]]-BA35</f>
        <v>112552.5160745155</v>
      </c>
      <c r="BC35" s="62">
        <f>Table136[[#This Row],[Overall Intersectorial Final PiN]]*0.07</f>
        <v>8642.7261252160861</v>
      </c>
    </row>
    <row r="36" spans="1:55" x14ac:dyDescent="0.2">
      <c r="A36" s="223" t="s">
        <v>25</v>
      </c>
      <c r="B36" s="223" t="s">
        <v>31</v>
      </c>
      <c r="C36" s="223" t="s">
        <v>518</v>
      </c>
      <c r="D36" s="209">
        <f>'Baseline_2020 Population Proj'!C35</f>
        <v>180774.59930183538</v>
      </c>
      <c r="E36" s="209">
        <v>159817</v>
      </c>
      <c r="F36" s="206"/>
      <c r="G36" s="52"/>
      <c r="H36" s="52"/>
      <c r="I36" s="52">
        <v>20336.397172000001</v>
      </c>
      <c r="J36" s="52">
        <v>20414.916079999999</v>
      </c>
      <c r="K36" s="52">
        <v>15293.190504870227</v>
      </c>
      <c r="L36" s="52">
        <v>4453</v>
      </c>
      <c r="M36" s="52">
        <v>41007</v>
      </c>
      <c r="N36" s="52">
        <v>39954</v>
      </c>
      <c r="O36" s="52">
        <v>7991</v>
      </c>
      <c r="P36" s="52">
        <v>47945</v>
      </c>
      <c r="Q36" s="51">
        <v>26153.586901600003</v>
      </c>
      <c r="R36" s="52">
        <v>16215.223878992001</v>
      </c>
      <c r="S36" s="52"/>
      <c r="T36" s="74">
        <v>3231</v>
      </c>
      <c r="U36" s="74">
        <v>54232.379790550614</v>
      </c>
      <c r="V36" s="52"/>
      <c r="W36" s="52">
        <v>246.51081722977551</v>
      </c>
      <c r="X36" s="52">
        <v>241.58060088517999</v>
      </c>
      <c r="Y36" s="52">
        <v>0</v>
      </c>
      <c r="Z36" s="52"/>
      <c r="AA36" s="52"/>
      <c r="AB36" s="66">
        <v>0</v>
      </c>
      <c r="AC36" s="52">
        <v>0</v>
      </c>
      <c r="AD36" s="52">
        <v>0</v>
      </c>
      <c r="AE36" s="52">
        <v>0</v>
      </c>
      <c r="AF36" s="52">
        <v>0</v>
      </c>
      <c r="AG36" s="84"/>
      <c r="AH36"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54232.379790550614</v>
      </c>
      <c r="AJ36" s="59">
        <f>Table1345[[#This Row],[FSC PiN]]</f>
        <v>47945</v>
      </c>
      <c r="AK36" s="59">
        <f>Table1345[[#This Row],[Education PiN]]</f>
        <v>41007</v>
      </c>
      <c r="AL36" s="59">
        <f>Table1345[[#This Row],[Nutrition PiN]]</f>
        <v>0</v>
      </c>
      <c r="AM36" s="59">
        <f>Table1345[[#This Row],[WASH_PiN]]</f>
        <v>48809.141811495552</v>
      </c>
      <c r="AN36" s="59">
        <f>Table1345[[#This Row],[Health PiN]]</f>
        <v>54232.379790550614</v>
      </c>
      <c r="AO36" s="59">
        <f>Table1345[[#This Row],[Protection/GBV PiN]]</f>
        <v>24753.972051278368</v>
      </c>
      <c r="AP36" s="59">
        <f>Table1345[[#This Row],[CP_PiN]]</f>
        <v>20414.916079999999</v>
      </c>
      <c r="AQ36" s="59">
        <f>Table1345[[#This Row],[Shelter/NFIs PiN]]</f>
        <v>0</v>
      </c>
      <c r="AR36" s="59">
        <f>Table1345[[#This Row],[CCCM_PiN]]</f>
        <v>0</v>
      </c>
      <c r="AT36" s="79">
        <f>Table136[[#This Row],[Overall Intersectorial Final PiN]]-(Table8[[#This Row],[IDPs]]+Table8[[#This Row],[Returnee Migrants]]+Table8[[#This Row],[Refugees]])</f>
        <v>54232.379790550614</v>
      </c>
      <c r="AU36" s="66">
        <f>'Baseline_2020 Population Proj'!L35</f>
        <v>0</v>
      </c>
      <c r="AV36" s="66">
        <f>'Baseline_2020 Population Proj'!O35</f>
        <v>0</v>
      </c>
      <c r="AW36" s="78">
        <f>'Baseline_2020 Population Proj'!R35</f>
        <v>0</v>
      </c>
      <c r="AY36" s="59">
        <v>27135</v>
      </c>
      <c r="BA36" s="66">
        <f>MAX(Table136[[#This Row],[IPC 4]],Table136[[#This Row],[SAM]],Table136[[#This Row],[Gap]])</f>
        <v>7991</v>
      </c>
      <c r="BB36" s="79">
        <f>Table136[[#This Row],[Overall Intersectorial Final PiN]]-BA36</f>
        <v>46241.379790550614</v>
      </c>
      <c r="BC36" s="62">
        <f>Table136[[#This Row],[Overall Intersectorial Final PiN]]*0.07</f>
        <v>3796.2665853385433</v>
      </c>
    </row>
    <row r="37" spans="1:55" x14ac:dyDescent="0.2">
      <c r="A37" s="223" t="s">
        <v>25</v>
      </c>
      <c r="B37" s="223" t="s">
        <v>34</v>
      </c>
      <c r="C37" s="223" t="s">
        <v>517</v>
      </c>
      <c r="D37" s="209">
        <f>'Baseline_2020 Population Proj'!C36</f>
        <v>70116.69807242621</v>
      </c>
      <c r="E37" s="209"/>
      <c r="F37" s="206"/>
      <c r="G37" s="52"/>
      <c r="H37" s="52"/>
      <c r="I37" s="52"/>
      <c r="J37" s="52"/>
      <c r="K37" s="52"/>
      <c r="L37" s="52"/>
      <c r="M37" s="52"/>
      <c r="N37" s="52"/>
      <c r="O37" s="52"/>
      <c r="P37" s="52">
        <v>36376.699208884071</v>
      </c>
      <c r="Q37" s="51">
        <v>10281.077807200001</v>
      </c>
      <c r="R37" s="52">
        <v>8224.8622457600013</v>
      </c>
      <c r="S37" s="52"/>
      <c r="T37" s="74">
        <v>1943</v>
      </c>
      <c r="U37" s="74">
        <v>21035.009421727864</v>
      </c>
      <c r="V37" s="52"/>
      <c r="W37" s="52">
        <v>84.140037686911455</v>
      </c>
      <c r="X37" s="52">
        <v>220.86759892814257</v>
      </c>
      <c r="Y37" s="52">
        <v>7782.9534860393087</v>
      </c>
      <c r="Z37" s="52"/>
      <c r="AA37" s="52"/>
      <c r="AB37" s="66">
        <v>0</v>
      </c>
      <c r="AC37" s="52">
        <v>0</v>
      </c>
      <c r="AD37" s="52">
        <v>0</v>
      </c>
      <c r="AE37" s="52">
        <v>0</v>
      </c>
      <c r="AF37" s="52">
        <v>0</v>
      </c>
      <c r="AG37" s="84"/>
      <c r="AH37"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36376.699208884071</v>
      </c>
      <c r="AJ37" s="59">
        <f>Table1345[[#This Row],[FSC PiN]]</f>
        <v>36376.699208884071</v>
      </c>
      <c r="AK37" s="59">
        <f>Table1345[[#This Row],[Education PiN]]</f>
        <v>0</v>
      </c>
      <c r="AL37" s="59">
        <f>Table1345[[#This Row],[Nutrition PiN]]</f>
        <v>7782.9534860393087</v>
      </c>
      <c r="AM37" s="59">
        <f>Table1345[[#This Row],[WASH_PiN]]</f>
        <v>27345.512248246221</v>
      </c>
      <c r="AN37" s="59">
        <f>Table1345[[#This Row],[Health PiN]]</f>
        <v>0</v>
      </c>
      <c r="AO37" s="59">
        <f>Table1345[[#This Row],[Protection/GBV PiN]]</f>
        <v>9601.2757938119266</v>
      </c>
      <c r="AP37" s="59">
        <f>Table1345[[#This Row],[CP_PiN]]</f>
        <v>0</v>
      </c>
      <c r="AQ37" s="59">
        <f>Table1345[[#This Row],[Shelter/NFIs PiN]]</f>
        <v>0</v>
      </c>
      <c r="AR37" s="59">
        <f>Table1345[[#This Row],[CCCM_PiN]]</f>
        <v>0</v>
      </c>
      <c r="AT37" s="79">
        <f>Table136[[#This Row],[Overall Intersectorial Final PiN]]-(Table8[[#This Row],[IDPs]]+Table8[[#This Row],[Returnee Migrants]]+Table8[[#This Row],[Refugees]])</f>
        <v>36376.699208884071</v>
      </c>
      <c r="AU37" s="66">
        <f>'Baseline_2020 Population Proj'!L36</f>
        <v>0</v>
      </c>
      <c r="AV37" s="66">
        <f>'Baseline_2020 Population Proj'!O36</f>
        <v>0</v>
      </c>
      <c r="AW37" s="78">
        <f>'Baseline_2020 Population Proj'!R36</f>
        <v>0</v>
      </c>
      <c r="AY37" s="59">
        <v>0</v>
      </c>
      <c r="BA37" s="66">
        <f>MAX(Table136[[#This Row],[IPC 4]],Table136[[#This Row],[SAM]],Table136[[#This Row],[Gap]])</f>
        <v>1943</v>
      </c>
      <c r="BB37" s="79">
        <f>Table136[[#This Row],[Overall Intersectorial Final PiN]]-BA37</f>
        <v>34433.699208884071</v>
      </c>
      <c r="BC37" s="62">
        <f>Table136[[#This Row],[Overall Intersectorial Final PiN]]*0.07</f>
        <v>2546.368944621885</v>
      </c>
    </row>
    <row r="38" spans="1:55" x14ac:dyDescent="0.2">
      <c r="A38" s="223" t="s">
        <v>25</v>
      </c>
      <c r="B38" s="223" t="s">
        <v>32</v>
      </c>
      <c r="C38" s="223" t="s">
        <v>518</v>
      </c>
      <c r="D38" s="209">
        <f>'Baseline_2020 Population Proj'!C37</f>
        <v>124645.85961017283</v>
      </c>
      <c r="E38" s="209">
        <v>110195</v>
      </c>
      <c r="F38" s="206"/>
      <c r="G38" s="52"/>
      <c r="H38" s="52"/>
      <c r="I38" s="52"/>
      <c r="J38" s="52"/>
      <c r="K38" s="52">
        <v>8652.2960932790593</v>
      </c>
      <c r="L38" s="52">
        <v>0</v>
      </c>
      <c r="M38" s="52">
        <v>21280</v>
      </c>
      <c r="N38" s="52">
        <v>22039</v>
      </c>
      <c r="O38" s="52">
        <v>0</v>
      </c>
      <c r="P38" s="52">
        <v>22039</v>
      </c>
      <c r="Q38" s="51">
        <v>17796.299307200003</v>
      </c>
      <c r="R38" s="52">
        <v>11033.705570464001</v>
      </c>
      <c r="S38" s="52"/>
      <c r="T38" s="74">
        <v>3559</v>
      </c>
      <c r="U38" s="74">
        <v>37393.757883051847</v>
      </c>
      <c r="V38" s="52"/>
      <c r="W38" s="52">
        <v>878.7533102517184</v>
      </c>
      <c r="X38" s="52">
        <v>299.15006306441478</v>
      </c>
      <c r="Y38" s="52">
        <v>14035.12379210546</v>
      </c>
      <c r="Z38" s="52"/>
      <c r="AA38" s="52"/>
      <c r="AB38" s="66">
        <v>0</v>
      </c>
      <c r="AC38" s="52">
        <v>0</v>
      </c>
      <c r="AD38" s="52">
        <v>0</v>
      </c>
      <c r="AE38" s="52">
        <v>0</v>
      </c>
      <c r="AF38" s="52">
        <v>0</v>
      </c>
      <c r="AG38" s="84"/>
      <c r="AH38"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37393.757883051847</v>
      </c>
      <c r="AJ38" s="59">
        <f>Table1345[[#This Row],[FSC PiN]]</f>
        <v>22039</v>
      </c>
      <c r="AK38" s="59">
        <f>Table1345[[#This Row],[Education PiN]]</f>
        <v>0</v>
      </c>
      <c r="AL38" s="59">
        <f>Table1345[[#This Row],[Nutrition PiN]]</f>
        <v>14035.12379210546</v>
      </c>
      <c r="AM38" s="59">
        <f>Table1345[[#This Row],[WASH_PiN]]</f>
        <v>0</v>
      </c>
      <c r="AN38" s="59">
        <f>Table1345[[#This Row],[Health PiN]]</f>
        <v>0</v>
      </c>
      <c r="AO38" s="59">
        <f>Table1345[[#This Row],[Protection/GBV PiN]]</f>
        <v>17068.106564827878</v>
      </c>
      <c r="AP38" s="59">
        <f>Table1345[[#This Row],[CP_PiN]]</f>
        <v>0</v>
      </c>
      <c r="AQ38" s="59">
        <f>Table1345[[#This Row],[Shelter/NFIs PiN]]</f>
        <v>0</v>
      </c>
      <c r="AR38" s="59">
        <f>Table1345[[#This Row],[CCCM_PiN]]</f>
        <v>0</v>
      </c>
      <c r="AT38" s="79">
        <f>Table136[[#This Row],[Overall Intersectorial Final PiN]]-(Table8[[#This Row],[IDPs]]+Table8[[#This Row],[Returnee Migrants]]+Table8[[#This Row],[Refugees]])</f>
        <v>37393.757883051847</v>
      </c>
      <c r="AU38" s="66">
        <f>'Baseline_2020 Population Proj'!L37</f>
        <v>0</v>
      </c>
      <c r="AV38" s="66">
        <f>'Baseline_2020 Population Proj'!O37</f>
        <v>0</v>
      </c>
      <c r="AW38" s="78">
        <f>'Baseline_2020 Population Proj'!R37</f>
        <v>0</v>
      </c>
      <c r="AY38" s="59">
        <v>18717</v>
      </c>
      <c r="BA38" s="66">
        <f>MAX(Table136[[#This Row],[IPC 4]],Table136[[#This Row],[SAM]],Table136[[#This Row],[Gap]])</f>
        <v>3559</v>
      </c>
      <c r="BB38" s="79">
        <f>Table136[[#This Row],[Overall Intersectorial Final PiN]]-BA38</f>
        <v>33834.757883051847</v>
      </c>
      <c r="BC38" s="62">
        <f>Table136[[#This Row],[Overall Intersectorial Final PiN]]*0.07</f>
        <v>2617.5630518136295</v>
      </c>
    </row>
    <row r="39" spans="1:55" x14ac:dyDescent="0.2">
      <c r="A39" s="223" t="s">
        <v>25</v>
      </c>
      <c r="B39" s="223" t="s">
        <v>101</v>
      </c>
      <c r="C39" s="223" t="s">
        <v>518</v>
      </c>
      <c r="D39" s="209">
        <f>'Baseline_2020 Population Proj'!C38</f>
        <v>139311.75211958765</v>
      </c>
      <c r="E39" s="209">
        <v>123161</v>
      </c>
      <c r="F39" s="206"/>
      <c r="G39" s="52"/>
      <c r="H39" s="52">
        <v>14117.804620283203</v>
      </c>
      <c r="I39" s="52">
        <v>15072.9523204</v>
      </c>
      <c r="J39" s="52">
        <v>15133.461964399999</v>
      </c>
      <c r="K39" s="52">
        <v>15746.925074084127</v>
      </c>
      <c r="L39" s="52">
        <v>3103</v>
      </c>
      <c r="M39" s="52">
        <v>17754</v>
      </c>
      <c r="N39" s="52">
        <v>36948</v>
      </c>
      <c r="O39" s="52">
        <v>6158</v>
      </c>
      <c r="P39" s="52">
        <v>43106</v>
      </c>
      <c r="Q39" s="51">
        <v>20243.956263200002</v>
      </c>
      <c r="R39" s="52">
        <v>12551.252883184003</v>
      </c>
      <c r="S39" s="52">
        <v>44858.384182507223</v>
      </c>
      <c r="T39" s="74">
        <v>525</v>
      </c>
      <c r="U39" s="74">
        <v>41793.525635876293</v>
      </c>
      <c r="V39" s="52">
        <v>6129.7170932618565</v>
      </c>
      <c r="W39" s="52">
        <v>180.14450705119091</v>
      </c>
      <c r="X39" s="52">
        <v>7.9263583102523967</v>
      </c>
      <c r="Y39" s="52">
        <v>0</v>
      </c>
      <c r="Z39" s="52"/>
      <c r="AA39" s="52"/>
      <c r="AB39" s="66">
        <v>34827.938029896912</v>
      </c>
      <c r="AC39" s="52">
        <v>45972.878199463928</v>
      </c>
      <c r="AD39" s="52">
        <v>0</v>
      </c>
      <c r="AE39" s="52">
        <v>0</v>
      </c>
      <c r="AF39" s="52">
        <v>0</v>
      </c>
      <c r="AG39" s="84"/>
      <c r="AH39"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45972.878199463928</v>
      </c>
      <c r="AJ39" s="59">
        <f>Table1345[[#This Row],[FSC PiN]]</f>
        <v>43106</v>
      </c>
      <c r="AK39" s="59">
        <f>Table1345[[#This Row],[Education PiN]]</f>
        <v>17754</v>
      </c>
      <c r="AL39" s="59">
        <f>Table1345[[#This Row],[Nutrition PiN]]</f>
        <v>0</v>
      </c>
      <c r="AM39" s="59">
        <f>Table1345[[#This Row],[WASH_PiN]]</f>
        <v>45972.878199463928</v>
      </c>
      <c r="AN39" s="59">
        <f>Table1345[[#This Row],[Health PiN]]</f>
        <v>44858.384182507223</v>
      </c>
      <c r="AO39" s="59">
        <f>Table1345[[#This Row],[Protection/GBV PiN]]</f>
        <v>32426.203423355226</v>
      </c>
      <c r="AP39" s="59">
        <f>Table1345[[#This Row],[CP_PiN]]</f>
        <v>15133.461964399999</v>
      </c>
      <c r="AQ39" s="59">
        <f>Table1345[[#This Row],[Shelter/NFIs PiN]]</f>
        <v>0</v>
      </c>
      <c r="AR39" s="59">
        <f>Table1345[[#This Row],[CCCM_PiN]]</f>
        <v>0</v>
      </c>
      <c r="AT39" s="79">
        <f>Table136[[#This Row],[Overall Intersectorial Final PiN]]-(Table8[[#This Row],[IDPs]]+Table8[[#This Row],[Returnee Migrants]]+Table8[[#This Row],[Refugees]])</f>
        <v>45972.878199463928</v>
      </c>
      <c r="AU39" s="66">
        <f>'Baseline_2020 Population Proj'!L38</f>
        <v>0</v>
      </c>
      <c r="AV39" s="66">
        <f>'Baseline_2020 Population Proj'!O38</f>
        <v>0</v>
      </c>
      <c r="AW39" s="78">
        <f>'Baseline_2020 Population Proj'!R38</f>
        <v>0</v>
      </c>
      <c r="AY39" s="59">
        <v>77480</v>
      </c>
      <c r="BA39" s="66">
        <f>MAX(Table136[[#This Row],[IPC 4]],Table136[[#This Row],[SAM]],Table136[[#This Row],[Gap]])</f>
        <v>6158</v>
      </c>
      <c r="BB39" s="79">
        <f>Table136[[#This Row],[Overall Intersectorial Final PiN]]-BA39</f>
        <v>39814.878199463928</v>
      </c>
      <c r="BC39" s="62">
        <f>Table136[[#This Row],[Overall Intersectorial Final PiN]]*0.07</f>
        <v>3218.1014739624752</v>
      </c>
    </row>
    <row r="40" spans="1:55" x14ac:dyDescent="0.2">
      <c r="A40" s="223" t="s">
        <v>35</v>
      </c>
      <c r="B40" s="223" t="s">
        <v>99</v>
      </c>
      <c r="C40" s="223" t="s">
        <v>518</v>
      </c>
      <c r="D40" s="209">
        <f>'Baseline_2020 Population Proj'!C39</f>
        <v>192292.42961104275</v>
      </c>
      <c r="E40" s="209">
        <v>168050</v>
      </c>
      <c r="F40" s="206"/>
      <c r="G40" s="52"/>
      <c r="H40" s="52">
        <v>25996.19059292406</v>
      </c>
      <c r="I40" s="52"/>
      <c r="J40" s="52"/>
      <c r="K40" s="52">
        <v>30064.315332909871</v>
      </c>
      <c r="L40" s="52">
        <v>2683</v>
      </c>
      <c r="M40" s="52">
        <v>49873</v>
      </c>
      <c r="N40" s="52">
        <v>50415</v>
      </c>
      <c r="O40" s="52">
        <v>8403</v>
      </c>
      <c r="P40" s="52">
        <v>58818</v>
      </c>
      <c r="Q40" s="51">
        <v>24668.001851200002</v>
      </c>
      <c r="R40" s="52">
        <v>18747.681406912001</v>
      </c>
      <c r="S40" s="52">
        <v>32978.151678293827</v>
      </c>
      <c r="T40" s="74">
        <v>383.1</v>
      </c>
      <c r="U40" s="74">
        <v>57687.728883312826</v>
      </c>
      <c r="V40" s="52">
        <v>8460.8669028858822</v>
      </c>
      <c r="W40" s="52">
        <v>300.4569212672543</v>
      </c>
      <c r="X40" s="52">
        <v>0</v>
      </c>
      <c r="Y40" s="52">
        <v>0</v>
      </c>
      <c r="Z40" s="52"/>
      <c r="AA40" s="52"/>
      <c r="AB40" s="66">
        <v>0</v>
      </c>
      <c r="AC40" s="52">
        <v>0</v>
      </c>
      <c r="AD40" s="52">
        <v>0</v>
      </c>
      <c r="AE40" s="52">
        <v>0</v>
      </c>
      <c r="AF40" s="52">
        <v>0</v>
      </c>
      <c r="AG40" s="84"/>
      <c r="AH40"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58818</v>
      </c>
      <c r="AJ40" s="59">
        <f>Table1345[[#This Row],[FSC PiN]]</f>
        <v>58818</v>
      </c>
      <c r="AK40" s="59">
        <f>Table1345[[#This Row],[Education PiN]]</f>
        <v>49873</v>
      </c>
      <c r="AL40" s="59">
        <f>Table1345[[#This Row],[Nutrition PiN]]</f>
        <v>0</v>
      </c>
      <c r="AM40" s="59">
        <f>Table1345[[#This Row],[WASH_PiN]]</f>
        <v>0</v>
      </c>
      <c r="AN40" s="59">
        <f>Table1345[[#This Row],[Health PiN]]</f>
        <v>57687.728883312826</v>
      </c>
      <c r="AO40" s="59">
        <f>Table1345[[#This Row],[Protection/GBV PiN]]</f>
        <v>25207.614597711596</v>
      </c>
      <c r="AP40" s="59">
        <f>Table1345[[#This Row],[CP_PiN]]</f>
        <v>25996.19059292406</v>
      </c>
      <c r="AQ40" s="59">
        <f>Table1345[[#This Row],[Shelter/NFIs PiN]]</f>
        <v>0</v>
      </c>
      <c r="AR40" s="59">
        <f>Table1345[[#This Row],[CCCM_PiN]]</f>
        <v>0</v>
      </c>
      <c r="AT40" s="79">
        <f>Table136[[#This Row],[Overall Intersectorial Final PiN]]-(Table8[[#This Row],[IDPs]]+Table8[[#This Row],[Returnee Migrants]]+Table8[[#This Row],[Refugees]])</f>
        <v>58818</v>
      </c>
      <c r="AU40" s="66">
        <f>'Baseline_2020 Population Proj'!L39</f>
        <v>0</v>
      </c>
      <c r="AV40" s="66">
        <f>'Baseline_2020 Population Proj'!O39</f>
        <v>0</v>
      </c>
      <c r="AW40" s="78">
        <f>'Baseline_2020 Population Proj'!R39</f>
        <v>0</v>
      </c>
      <c r="AY40" s="59">
        <v>76554</v>
      </c>
      <c r="BA40" s="66">
        <f>MAX(Table136[[#This Row],[IPC 4]],Table136[[#This Row],[SAM]],Table136[[#This Row],[Gap]])</f>
        <v>8403</v>
      </c>
      <c r="BB40" s="79">
        <f>Table136[[#This Row],[Overall Intersectorial Final PiN]]-BA40</f>
        <v>50415</v>
      </c>
      <c r="BC40" s="62">
        <f>Table136[[#This Row],[Overall Intersectorial Final PiN]]*0.07</f>
        <v>4117.26</v>
      </c>
    </row>
    <row r="41" spans="1:55" x14ac:dyDescent="0.2">
      <c r="A41" s="223" t="s">
        <v>35</v>
      </c>
      <c r="B41" s="223" t="s">
        <v>41</v>
      </c>
      <c r="C41" s="223" t="s">
        <v>517</v>
      </c>
      <c r="D41" s="209">
        <f>'Baseline_2020 Population Proj'!C40</f>
        <v>63311.145189044626</v>
      </c>
      <c r="E41" s="209"/>
      <c r="F41" s="206"/>
      <c r="G41" s="52"/>
      <c r="H41" s="52"/>
      <c r="I41" s="52"/>
      <c r="J41" s="52"/>
      <c r="K41" s="52"/>
      <c r="L41" s="52"/>
      <c r="M41" s="52"/>
      <c r="N41" s="52"/>
      <c r="O41" s="52"/>
      <c r="P41" s="52">
        <v>22562.394974072144</v>
      </c>
      <c r="Q41" s="51">
        <v>8318.0574912000011</v>
      </c>
      <c r="R41" s="52">
        <v>6654.4459929600007</v>
      </c>
      <c r="S41" s="52">
        <v>8531.1768142237634</v>
      </c>
      <c r="T41" s="74">
        <v>382.95</v>
      </c>
      <c r="U41" s="74"/>
      <c r="V41" s="52">
        <v>2785.6903883179634</v>
      </c>
      <c r="W41" s="52">
        <v>94.966717783566935</v>
      </c>
      <c r="X41" s="52">
        <v>85.470046005210236</v>
      </c>
      <c r="Y41" s="52">
        <v>0</v>
      </c>
      <c r="Z41" s="52"/>
      <c r="AA41" s="52"/>
      <c r="AB41" s="66">
        <v>16460.897749151602</v>
      </c>
      <c r="AC41" s="52">
        <v>0</v>
      </c>
      <c r="AD41" s="52">
        <v>0</v>
      </c>
      <c r="AE41" s="52">
        <v>0</v>
      </c>
      <c r="AF41" s="52">
        <v>0</v>
      </c>
      <c r="AG41" s="84"/>
      <c r="AH41"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22562.394974072144</v>
      </c>
      <c r="AJ41" s="59">
        <f>Table1345[[#This Row],[FSC PiN]]</f>
        <v>22562.394974072144</v>
      </c>
      <c r="AK41" s="59">
        <f>Table1345[[#This Row],[Education PiN]]</f>
        <v>0</v>
      </c>
      <c r="AL41" s="59">
        <f>Table1345[[#This Row],[Nutrition PiN]]</f>
        <v>0</v>
      </c>
      <c r="AM41" s="59">
        <f>Table1345[[#This Row],[WASH_PiN]]</f>
        <v>16460.897749151602</v>
      </c>
      <c r="AN41" s="59">
        <f>Table1345[[#This Row],[Health PiN]]</f>
        <v>8531.1768142237634</v>
      </c>
      <c r="AO41" s="59">
        <f>Table1345[[#This Row],[Protection/GBV PiN]]</f>
        <v>8299.4580228318609</v>
      </c>
      <c r="AP41" s="59">
        <f>Table1345[[#This Row],[CP_PiN]]</f>
        <v>0</v>
      </c>
      <c r="AQ41" s="59">
        <f>Table1345[[#This Row],[Shelter/NFIs PiN]]</f>
        <v>0</v>
      </c>
      <c r="AR41" s="59">
        <f>Table1345[[#This Row],[CCCM_PiN]]</f>
        <v>0</v>
      </c>
      <c r="AT41" s="79">
        <f>Table136[[#This Row],[Overall Intersectorial Final PiN]]-(Table8[[#This Row],[IDPs]]+Table8[[#This Row],[Returnee Migrants]]+Table8[[#This Row],[Refugees]])</f>
        <v>22562.394974072144</v>
      </c>
      <c r="AU41" s="66">
        <f>'Baseline_2020 Population Proj'!L40</f>
        <v>0</v>
      </c>
      <c r="AV41" s="66">
        <f>'Baseline_2020 Population Proj'!O40</f>
        <v>0</v>
      </c>
      <c r="AW41" s="78">
        <f>'Baseline_2020 Population Proj'!R40</f>
        <v>0</v>
      </c>
      <c r="AY41" s="59">
        <v>0</v>
      </c>
      <c r="BA41" s="66">
        <f>MAX(Table136[[#This Row],[IPC 4]],Table136[[#This Row],[SAM]],Table136[[#This Row],[Gap]])</f>
        <v>382.95</v>
      </c>
      <c r="BB41" s="79">
        <f>Table136[[#This Row],[Overall Intersectorial Final PiN]]-BA41</f>
        <v>22179.444974072143</v>
      </c>
      <c r="BC41" s="62">
        <f>Table136[[#This Row],[Overall Intersectorial Final PiN]]*0.07</f>
        <v>1579.3676481850503</v>
      </c>
    </row>
    <row r="42" spans="1:55" x14ac:dyDescent="0.2">
      <c r="A42" s="223" t="s">
        <v>35</v>
      </c>
      <c r="B42" s="223" t="s">
        <v>40</v>
      </c>
      <c r="C42" s="223" t="s">
        <v>517</v>
      </c>
      <c r="D42" s="209">
        <f>'Baseline_2020 Population Proj'!C41</f>
        <v>97524.693287943446</v>
      </c>
      <c r="E42" s="209"/>
      <c r="F42" s="206"/>
      <c r="G42" s="52"/>
      <c r="H42" s="52"/>
      <c r="I42" s="52"/>
      <c r="J42" s="52"/>
      <c r="K42" s="52"/>
      <c r="L42" s="52"/>
      <c r="M42" s="52"/>
      <c r="N42" s="52"/>
      <c r="O42" s="52"/>
      <c r="P42" s="52">
        <v>49598.736603060657</v>
      </c>
      <c r="Q42" s="51">
        <v>12829.534164799999</v>
      </c>
      <c r="R42" s="52">
        <v>9878.7413068960013</v>
      </c>
      <c r="S42" s="52"/>
      <c r="T42" s="74">
        <v>2709</v>
      </c>
      <c r="U42" s="74">
        <v>48762.346643971723</v>
      </c>
      <c r="V42" s="52"/>
      <c r="W42" s="52">
        <v>73.14351996595758</v>
      </c>
      <c r="X42" s="52">
        <v>263.31667187744728</v>
      </c>
      <c r="Y42" s="52">
        <v>10903.260709592078</v>
      </c>
      <c r="Z42" s="52"/>
      <c r="AA42" s="52"/>
      <c r="AB42" s="66">
        <v>0</v>
      </c>
      <c r="AC42" s="52">
        <v>0</v>
      </c>
      <c r="AD42" s="52">
        <v>0</v>
      </c>
      <c r="AE42" s="52">
        <v>0</v>
      </c>
      <c r="AF42" s="52">
        <v>0</v>
      </c>
      <c r="AG42" s="84"/>
      <c r="AH42"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49598.736603060657</v>
      </c>
      <c r="AJ42" s="59">
        <f>Table1345[[#This Row],[FSC PiN]]</f>
        <v>49598.736603060657</v>
      </c>
      <c r="AK42" s="59">
        <f>Table1345[[#This Row],[Education PiN]]</f>
        <v>0</v>
      </c>
      <c r="AL42" s="59">
        <f>Table1345[[#This Row],[Nutrition PiN]]</f>
        <v>10903.260709592078</v>
      </c>
      <c r="AM42" s="59">
        <f>Table1345[[#This Row],[WASH_PiN]]</f>
        <v>0</v>
      </c>
      <c r="AN42" s="59">
        <f>Table1345[[#This Row],[Health PiN]]</f>
        <v>48762.346643971723</v>
      </c>
      <c r="AO42" s="59">
        <f>Table1345[[#This Row],[Protection/GBV PiN]]</f>
        <v>12784.512043116509</v>
      </c>
      <c r="AP42" s="59">
        <f>Table1345[[#This Row],[CP_PiN]]</f>
        <v>0</v>
      </c>
      <c r="AQ42" s="59">
        <f>Table1345[[#This Row],[Shelter/NFIs PiN]]</f>
        <v>0</v>
      </c>
      <c r="AR42" s="59">
        <f>Table1345[[#This Row],[CCCM_PiN]]</f>
        <v>0</v>
      </c>
      <c r="AT42" s="79">
        <f>Table136[[#This Row],[Overall Intersectorial Final PiN]]-(Table8[[#This Row],[IDPs]]+Table8[[#This Row],[Returnee Migrants]]+Table8[[#This Row],[Refugees]])</f>
        <v>49598.736603060657</v>
      </c>
      <c r="AU42" s="66">
        <f>'Baseline_2020 Population Proj'!L41</f>
        <v>0</v>
      </c>
      <c r="AV42" s="66">
        <f>'Baseline_2020 Population Proj'!O41</f>
        <v>0</v>
      </c>
      <c r="AW42" s="78">
        <f>'Baseline_2020 Population Proj'!R41</f>
        <v>0</v>
      </c>
      <c r="AY42" s="59">
        <v>0</v>
      </c>
      <c r="BA42" s="66">
        <f>MAX(Table136[[#This Row],[IPC 4]],Table136[[#This Row],[SAM]],Table136[[#This Row],[Gap]])</f>
        <v>2709</v>
      </c>
      <c r="BB42" s="79">
        <f>Table136[[#This Row],[Overall Intersectorial Final PiN]]-BA42</f>
        <v>46889.736603060657</v>
      </c>
      <c r="BC42" s="62">
        <f>Table136[[#This Row],[Overall Intersectorial Final PiN]]*0.07</f>
        <v>3471.9115622142463</v>
      </c>
    </row>
    <row r="43" spans="1:55" x14ac:dyDescent="0.2">
      <c r="A43" s="223" t="s">
        <v>35</v>
      </c>
      <c r="B43" s="223" t="s">
        <v>36</v>
      </c>
      <c r="C43" s="223" t="s">
        <v>518</v>
      </c>
      <c r="D43" s="209">
        <f>'Baseline_2020 Population Proj'!C42</f>
        <v>411975.47070167866</v>
      </c>
      <c r="E43" s="209">
        <v>360038</v>
      </c>
      <c r="F43" s="206"/>
      <c r="G43" s="52"/>
      <c r="H43" s="52">
        <v>44735.551471681567</v>
      </c>
      <c r="I43" s="52"/>
      <c r="J43" s="52">
        <v>42541.689380666663</v>
      </c>
      <c r="K43" s="52">
        <v>49871.97748667538</v>
      </c>
      <c r="L43" s="52">
        <v>8610</v>
      </c>
      <c r="M43" s="52">
        <v>66787</v>
      </c>
      <c r="N43" s="52">
        <v>72008</v>
      </c>
      <c r="O43" s="52">
        <v>18002</v>
      </c>
      <c r="P43" s="52">
        <v>90010</v>
      </c>
      <c r="Q43" s="51">
        <v>52883.125035200006</v>
      </c>
      <c r="R43" s="52">
        <v>40191.175026752004</v>
      </c>
      <c r="S43" s="52">
        <v>70653.793225337882</v>
      </c>
      <c r="T43" s="74">
        <v>628.5</v>
      </c>
      <c r="U43" s="74">
        <v>123592.64121050359</v>
      </c>
      <c r="V43" s="52">
        <v>18126.920710873863</v>
      </c>
      <c r="W43" s="52">
        <v>1626.2189632960997</v>
      </c>
      <c r="X43" s="52">
        <v>0</v>
      </c>
      <c r="Y43" s="52">
        <v>46388.438001009017</v>
      </c>
      <c r="Z43" s="52"/>
      <c r="AA43" s="52"/>
      <c r="AB43" s="66">
        <v>135951.90533155395</v>
      </c>
      <c r="AC43" s="52">
        <v>131832.15062453717</v>
      </c>
      <c r="AD43" s="52">
        <v>0</v>
      </c>
      <c r="AE43" s="52">
        <v>0</v>
      </c>
      <c r="AF43" s="52">
        <v>0</v>
      </c>
      <c r="AG43" s="84"/>
      <c r="AH43"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135951.90533155395</v>
      </c>
      <c r="AJ43" s="59">
        <f>Table1345[[#This Row],[FSC PiN]]</f>
        <v>90010</v>
      </c>
      <c r="AK43" s="59">
        <f>Table1345[[#This Row],[Education PiN]]</f>
        <v>66787</v>
      </c>
      <c r="AL43" s="59">
        <f>Table1345[[#This Row],[Nutrition PiN]]</f>
        <v>46388.438001009017</v>
      </c>
      <c r="AM43" s="59">
        <f>Table1345[[#This Row],[WASH_PiN]]</f>
        <v>135951.90533155395</v>
      </c>
      <c r="AN43" s="59">
        <f>Table1345[[#This Row],[Health PiN]]</f>
        <v>123592.64121050359</v>
      </c>
      <c r="AO43" s="59">
        <f>Table1345[[#This Row],[Protection/GBV PiN]]</f>
        <v>54005.864454283059</v>
      </c>
      <c r="AP43" s="59">
        <f>Table1345[[#This Row],[CP_PiN]]</f>
        <v>44735.551471681567</v>
      </c>
      <c r="AQ43" s="59">
        <f>Table1345[[#This Row],[Shelter/NFIs PiN]]</f>
        <v>0</v>
      </c>
      <c r="AR43" s="59">
        <f>Table1345[[#This Row],[CCCM_PiN]]</f>
        <v>0</v>
      </c>
      <c r="AT43" s="79">
        <f>Table136[[#This Row],[Overall Intersectorial Final PiN]]-(Table8[[#This Row],[IDPs]]+Table8[[#This Row],[Returnee Migrants]]+Table8[[#This Row],[Refugees]])</f>
        <v>135951.90533155395</v>
      </c>
      <c r="AU43" s="66">
        <f>'Baseline_2020 Population Proj'!L42</f>
        <v>0</v>
      </c>
      <c r="AV43" s="66">
        <f>'Baseline_2020 Population Proj'!O42</f>
        <v>0</v>
      </c>
      <c r="AW43" s="78">
        <f>'Baseline_2020 Population Proj'!R42</f>
        <v>0</v>
      </c>
      <c r="AY43" s="59">
        <v>87391</v>
      </c>
      <c r="BA43" s="66">
        <f>MAX(Table136[[#This Row],[IPC 4]],Table136[[#This Row],[SAM]],Table136[[#This Row],[Gap]])</f>
        <v>18002</v>
      </c>
      <c r="BB43" s="79">
        <f>Table136[[#This Row],[Overall Intersectorial Final PiN]]-BA43</f>
        <v>117949.90533155395</v>
      </c>
      <c r="BC43" s="62">
        <f>Table136[[#This Row],[Overall Intersectorial Final PiN]]*0.07</f>
        <v>9516.6333732087769</v>
      </c>
    </row>
    <row r="44" spans="1:55" x14ac:dyDescent="0.2">
      <c r="A44" s="223" t="s">
        <v>35</v>
      </c>
      <c r="B44" s="223" t="s">
        <v>37</v>
      </c>
      <c r="C44" s="223" t="s">
        <v>517</v>
      </c>
      <c r="D44" s="209">
        <f>'Baseline_2020 Population Proj'!C43</f>
        <v>115720.85954706004</v>
      </c>
      <c r="E44" s="209"/>
      <c r="F44" s="206"/>
      <c r="G44" s="52"/>
      <c r="H44" s="52"/>
      <c r="I44" s="52"/>
      <c r="J44" s="52"/>
      <c r="K44" s="52"/>
      <c r="L44" s="52"/>
      <c r="M44" s="52"/>
      <c r="N44" s="52"/>
      <c r="O44" s="52"/>
      <c r="P44" s="52">
        <v>50508.189929658758</v>
      </c>
      <c r="Q44" s="51">
        <v>15116.7160248</v>
      </c>
      <c r="R44" s="52">
        <v>12093.37281984</v>
      </c>
      <c r="S44" s="52">
        <v>15593.385823966342</v>
      </c>
      <c r="T44" s="74">
        <v>481.5</v>
      </c>
      <c r="U44" s="74">
        <v>34716.257864118008</v>
      </c>
      <c r="V44" s="52"/>
      <c r="W44" s="52">
        <v>208.29754718470807</v>
      </c>
      <c r="X44" s="52">
        <v>225.65567611676707</v>
      </c>
      <c r="Y44" s="52">
        <v>12937.592097361312</v>
      </c>
      <c r="Z44" s="52"/>
      <c r="AA44" s="52"/>
      <c r="AB44" s="66">
        <v>28930.21488676501</v>
      </c>
      <c r="AC44" s="52">
        <v>0</v>
      </c>
      <c r="AD44" s="52">
        <v>0</v>
      </c>
      <c r="AE44" s="52">
        <v>0</v>
      </c>
      <c r="AF44" s="52">
        <v>0</v>
      </c>
      <c r="AG44" s="84"/>
      <c r="AH44"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50508.189929658758</v>
      </c>
      <c r="AJ44" s="59">
        <f>Table1345[[#This Row],[FSC PiN]]</f>
        <v>50508.189929658758</v>
      </c>
      <c r="AK44" s="59">
        <f>Table1345[[#This Row],[Education PiN]]</f>
        <v>0</v>
      </c>
      <c r="AL44" s="59">
        <f>Table1345[[#This Row],[Nutrition PiN]]</f>
        <v>12937.592097361312</v>
      </c>
      <c r="AM44" s="59">
        <f>Table1345[[#This Row],[WASH_PiN]]</f>
        <v>28930.21488676501</v>
      </c>
      <c r="AN44" s="59">
        <f>Table1345[[#This Row],[Health PiN]]</f>
        <v>34716.257864118008</v>
      </c>
      <c r="AO44" s="59">
        <f>Table1345[[#This Row],[Protection/GBV PiN]]</f>
        <v>15169.847478024101</v>
      </c>
      <c r="AP44" s="59">
        <f>Table1345[[#This Row],[CP_PiN]]</f>
        <v>0</v>
      </c>
      <c r="AQ44" s="59">
        <f>Table1345[[#This Row],[Shelter/NFIs PiN]]</f>
        <v>0</v>
      </c>
      <c r="AR44" s="59">
        <f>Table1345[[#This Row],[CCCM_PiN]]</f>
        <v>0</v>
      </c>
      <c r="AT44" s="79">
        <f>Table136[[#This Row],[Overall Intersectorial Final PiN]]-(Table8[[#This Row],[IDPs]]+Table8[[#This Row],[Returnee Migrants]]+Table8[[#This Row],[Refugees]])</f>
        <v>50508.189929658758</v>
      </c>
      <c r="AU44" s="66">
        <f>'Baseline_2020 Population Proj'!L43</f>
        <v>0</v>
      </c>
      <c r="AV44" s="66">
        <f>'Baseline_2020 Population Proj'!O43</f>
        <v>0</v>
      </c>
      <c r="AW44" s="78">
        <f>'Baseline_2020 Population Proj'!R43</f>
        <v>0</v>
      </c>
      <c r="AY44" s="59">
        <v>0</v>
      </c>
      <c r="BA44" s="66">
        <f>MAX(Table136[[#This Row],[IPC 4]],Table136[[#This Row],[SAM]],Table136[[#This Row],[Gap]])</f>
        <v>481.5</v>
      </c>
      <c r="BB44" s="79">
        <f>Table136[[#This Row],[Overall Intersectorial Final PiN]]-BA44</f>
        <v>50026.689929658758</v>
      </c>
      <c r="BC44" s="62">
        <f>Table136[[#This Row],[Overall Intersectorial Final PiN]]*0.07</f>
        <v>3535.5732950761135</v>
      </c>
    </row>
    <row r="45" spans="1:55" x14ac:dyDescent="0.2">
      <c r="A45" s="223" t="s">
        <v>35</v>
      </c>
      <c r="B45" s="223" t="s">
        <v>100</v>
      </c>
      <c r="C45" s="223" t="s">
        <v>518</v>
      </c>
      <c r="D45" s="209">
        <f>'Baseline_2020 Population Proj'!C44</f>
        <v>51771.471937647504</v>
      </c>
      <c r="E45" s="209">
        <v>45245</v>
      </c>
      <c r="F45" s="206"/>
      <c r="G45" s="52"/>
      <c r="H45" s="52">
        <v>8072.1891391425079</v>
      </c>
      <c r="I45" s="52"/>
      <c r="J45" s="52">
        <v>6212.9894753333328</v>
      </c>
      <c r="K45" s="52">
        <v>9090.8495451775743</v>
      </c>
      <c r="L45" s="52">
        <v>4250</v>
      </c>
      <c r="M45" s="52">
        <v>18562</v>
      </c>
      <c r="N45" s="52">
        <v>11311</v>
      </c>
      <c r="O45" s="52">
        <v>9049</v>
      </c>
      <c r="P45" s="52">
        <v>20360</v>
      </c>
      <c r="Q45" s="51">
        <v>6667.0033440000007</v>
      </c>
      <c r="R45" s="52">
        <v>5066.9225414400007</v>
      </c>
      <c r="S45" s="52"/>
      <c r="T45" s="74">
        <v>854</v>
      </c>
      <c r="U45" s="74"/>
      <c r="V45" s="52"/>
      <c r="W45" s="52">
        <v>0</v>
      </c>
      <c r="X45" s="52">
        <v>186.377298975531</v>
      </c>
      <c r="Y45" s="52">
        <v>5804.6174336490385</v>
      </c>
      <c r="Z45" s="52"/>
      <c r="AA45" s="52"/>
      <c r="AB45" s="66">
        <v>29509.739004459076</v>
      </c>
      <c r="AC45" s="52">
        <v>24332.591810694325</v>
      </c>
      <c r="AD45" s="52">
        <v>0</v>
      </c>
      <c r="AE45" s="52">
        <v>0</v>
      </c>
      <c r="AF45" s="52">
        <v>0</v>
      </c>
      <c r="AG45" s="84"/>
      <c r="AH45"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29509.739004459076</v>
      </c>
      <c r="AJ45" s="59">
        <f>Table1345[[#This Row],[FSC PiN]]</f>
        <v>20360</v>
      </c>
      <c r="AK45" s="59">
        <f>Table1345[[#This Row],[Education PiN]]</f>
        <v>18562</v>
      </c>
      <c r="AL45" s="59">
        <f>Table1345[[#This Row],[Nutrition PiN]]</f>
        <v>11609.234867298077</v>
      </c>
      <c r="AM45" s="59">
        <f>Table1345[[#This Row],[WASH_PiN]]</f>
        <v>29509.739004459076</v>
      </c>
      <c r="AN45" s="59">
        <f>Table1345[[#This Row],[Health PiN]]</f>
        <v>0</v>
      </c>
      <c r="AO45" s="59">
        <f>Table1345[[#This Row],[Protection/GBV PiN]]</f>
        <v>6786.7222563062114</v>
      </c>
      <c r="AP45" s="59">
        <f>Table1345[[#This Row],[CP_PiN]]</f>
        <v>8072.1891391425079</v>
      </c>
      <c r="AQ45" s="59">
        <f>Table1345[[#This Row],[Shelter/NFIs PiN]]</f>
        <v>0</v>
      </c>
      <c r="AR45" s="59">
        <f>Table1345[[#This Row],[CCCM_PiN]]</f>
        <v>0</v>
      </c>
      <c r="AT45" s="79">
        <f>Table136[[#This Row],[Overall Intersectorial Final PiN]]-(Table8[[#This Row],[IDPs]]+Table8[[#This Row],[Returnee Migrants]]+Table8[[#This Row],[Refugees]])</f>
        <v>29509.739004459076</v>
      </c>
      <c r="AU45" s="66">
        <f>'Baseline_2020 Population Proj'!L44</f>
        <v>0</v>
      </c>
      <c r="AV45" s="66">
        <f>'Baseline_2020 Population Proj'!O44</f>
        <v>0</v>
      </c>
      <c r="AW45" s="78">
        <f>'Baseline_2020 Population Proj'!R44</f>
        <v>0</v>
      </c>
      <c r="AY45" s="59">
        <v>36670</v>
      </c>
      <c r="BA45" s="66">
        <f>MAX(Table136[[#This Row],[IPC 4]],Table136[[#This Row],[SAM]],Table136[[#This Row],[Gap]])</f>
        <v>9049</v>
      </c>
      <c r="BB45" s="79">
        <f>Table136[[#This Row],[Overall Intersectorial Final PiN]]-BA45</f>
        <v>20460.739004459076</v>
      </c>
      <c r="BC45" s="62">
        <f>Table136[[#This Row],[Overall Intersectorial Final PiN]]*0.07</f>
        <v>2065.6817303121356</v>
      </c>
    </row>
    <row r="46" spans="1:55" x14ac:dyDescent="0.2">
      <c r="A46" s="223" t="s">
        <v>35</v>
      </c>
      <c r="B46" s="223" t="s">
        <v>42</v>
      </c>
      <c r="C46" s="223" t="s">
        <v>517</v>
      </c>
      <c r="D46" s="209">
        <f>'Baseline_2020 Population Proj'!C45</f>
        <v>33102.255414022919</v>
      </c>
      <c r="E46" s="209"/>
      <c r="F46" s="206"/>
      <c r="G46" s="52"/>
      <c r="H46" s="52"/>
      <c r="I46" s="52"/>
      <c r="J46" s="52"/>
      <c r="K46" s="52"/>
      <c r="L46" s="52"/>
      <c r="M46" s="52"/>
      <c r="N46" s="52"/>
      <c r="O46" s="52"/>
      <c r="P46" s="52">
        <v>15535.563366154058</v>
      </c>
      <c r="Q46" s="51">
        <v>4258.5230224000006</v>
      </c>
      <c r="R46" s="52">
        <v>3406.8184179200002</v>
      </c>
      <c r="S46" s="52"/>
      <c r="T46" s="74">
        <v>568</v>
      </c>
      <c r="U46" s="74"/>
      <c r="V46" s="52"/>
      <c r="W46" s="52">
        <v>173.78684092362033</v>
      </c>
      <c r="X46" s="52">
        <v>79.445412993654969</v>
      </c>
      <c r="Y46" s="52">
        <v>3700.8321552877624</v>
      </c>
      <c r="Z46" s="52"/>
      <c r="AA46" s="52"/>
      <c r="AB46" s="66">
        <v>0</v>
      </c>
      <c r="AC46" s="52">
        <v>0</v>
      </c>
      <c r="AD46" s="52">
        <v>0</v>
      </c>
      <c r="AE46" s="52">
        <v>0</v>
      </c>
      <c r="AF46" s="52">
        <v>0</v>
      </c>
      <c r="AG46" s="84"/>
      <c r="AH46"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15535.563366154058</v>
      </c>
      <c r="AJ46" s="59">
        <f>Table1345[[#This Row],[FSC PiN]]</f>
        <v>15535.563366154058</v>
      </c>
      <c r="AK46" s="59">
        <f>Table1345[[#This Row],[Education PiN]]</f>
        <v>0</v>
      </c>
      <c r="AL46" s="59">
        <f>Table1345[[#This Row],[Nutrition PiN]]</f>
        <v>3700.8321552877624</v>
      </c>
      <c r="AM46" s="59">
        <f>Table1345[[#This Row],[WASH_PiN]]</f>
        <v>0</v>
      </c>
      <c r="AN46" s="59">
        <f>Table1345[[#This Row],[Health PiN]]</f>
        <v>0</v>
      </c>
      <c r="AO46" s="59">
        <f>Table1345[[#This Row],[Protection/GBV PiN]]</f>
        <v>4339.3746622242652</v>
      </c>
      <c r="AP46" s="59">
        <f>Table1345[[#This Row],[CP_PiN]]</f>
        <v>0</v>
      </c>
      <c r="AQ46" s="59">
        <f>Table1345[[#This Row],[Shelter/NFIs PiN]]</f>
        <v>0</v>
      </c>
      <c r="AR46" s="59">
        <f>Table1345[[#This Row],[CCCM_PiN]]</f>
        <v>0</v>
      </c>
      <c r="AT46" s="79">
        <f>Table136[[#This Row],[Overall Intersectorial Final PiN]]-(Table8[[#This Row],[IDPs]]+Table8[[#This Row],[Returnee Migrants]]+Table8[[#This Row],[Refugees]])</f>
        <v>15535.563366154058</v>
      </c>
      <c r="AU46" s="66">
        <f>'Baseline_2020 Population Proj'!L45</f>
        <v>0</v>
      </c>
      <c r="AV46" s="66">
        <f>'Baseline_2020 Population Proj'!O45</f>
        <v>0</v>
      </c>
      <c r="AW46" s="78">
        <f>'Baseline_2020 Population Proj'!R45</f>
        <v>0</v>
      </c>
      <c r="AY46" s="59">
        <v>0</v>
      </c>
      <c r="BA46" s="66">
        <f>MAX(Table136[[#This Row],[IPC 4]],Table136[[#This Row],[SAM]],Table136[[#This Row],[Gap]])</f>
        <v>568</v>
      </c>
      <c r="BB46" s="79">
        <f>Table136[[#This Row],[Overall Intersectorial Final PiN]]-BA46</f>
        <v>14967.563366154058</v>
      </c>
      <c r="BC46" s="62">
        <f>Table136[[#This Row],[Overall Intersectorial Final PiN]]*0.07</f>
        <v>1087.4894356307841</v>
      </c>
    </row>
    <row r="47" spans="1:55" x14ac:dyDescent="0.2">
      <c r="A47" s="223" t="s">
        <v>35</v>
      </c>
      <c r="B47" s="223" t="s">
        <v>44</v>
      </c>
      <c r="C47" s="223" t="s">
        <v>517</v>
      </c>
      <c r="D47" s="209">
        <f>'Baseline_2020 Population Proj'!C46</f>
        <v>35799.142504008909</v>
      </c>
      <c r="E47" s="209"/>
      <c r="F47" s="206"/>
      <c r="G47" s="52"/>
      <c r="H47" s="52"/>
      <c r="I47" s="52"/>
      <c r="J47" s="52"/>
      <c r="K47" s="52"/>
      <c r="L47" s="52"/>
      <c r="M47" s="52"/>
      <c r="N47" s="52"/>
      <c r="O47" s="52"/>
      <c r="P47" s="52">
        <v>15625.099018350136</v>
      </c>
      <c r="Q47" s="51">
        <v>4755.8489544000004</v>
      </c>
      <c r="R47" s="52">
        <v>3804.6791635200007</v>
      </c>
      <c r="S47" s="52"/>
      <c r="T47" s="74">
        <v>1396</v>
      </c>
      <c r="U47" s="74">
        <v>10739.742751202672</v>
      </c>
      <c r="V47" s="52">
        <v>1575.1622701763922</v>
      </c>
      <c r="W47" s="52">
        <v>187.94549814604676</v>
      </c>
      <c r="X47" s="52">
        <v>85.917942009621356</v>
      </c>
      <c r="Y47" s="52">
        <v>4002.3441319481963</v>
      </c>
      <c r="Z47" s="52"/>
      <c r="AA47" s="52"/>
      <c r="AB47" s="66">
        <v>0</v>
      </c>
      <c r="AC47" s="52">
        <v>0</v>
      </c>
      <c r="AD47" s="52">
        <v>0</v>
      </c>
      <c r="AE47" s="52">
        <v>0</v>
      </c>
      <c r="AF47" s="52">
        <v>0</v>
      </c>
      <c r="AG47" s="84"/>
      <c r="AH47"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15625.099018350136</v>
      </c>
      <c r="AJ47" s="59">
        <f>Table1345[[#This Row],[FSC PiN]]</f>
        <v>15625.099018350136</v>
      </c>
      <c r="AK47" s="59">
        <f>Table1345[[#This Row],[Education PiN]]</f>
        <v>0</v>
      </c>
      <c r="AL47" s="59">
        <f>Table1345[[#This Row],[Nutrition PiN]]</f>
        <v>4002.3441319481963</v>
      </c>
      <c r="AM47" s="59">
        <f>Table1345[[#This Row],[WASH_PiN]]</f>
        <v>0</v>
      </c>
      <c r="AN47" s="59">
        <f>Table1345[[#This Row],[Health PiN]]</f>
        <v>10739.742751202672</v>
      </c>
      <c r="AO47" s="59">
        <f>Table1345[[#This Row],[Protection/GBV PiN]]</f>
        <v>4692.9095908505278</v>
      </c>
      <c r="AP47" s="59">
        <f>Table1345[[#This Row],[CP_PiN]]</f>
        <v>0</v>
      </c>
      <c r="AQ47" s="59">
        <f>Table1345[[#This Row],[Shelter/NFIs PiN]]</f>
        <v>0</v>
      </c>
      <c r="AR47" s="59">
        <f>Table1345[[#This Row],[CCCM_PiN]]</f>
        <v>0</v>
      </c>
      <c r="AT47" s="79">
        <f>Table136[[#This Row],[Overall Intersectorial Final PiN]]-(Table8[[#This Row],[IDPs]]+Table8[[#This Row],[Returnee Migrants]]+Table8[[#This Row],[Refugees]])</f>
        <v>15625.099018350136</v>
      </c>
      <c r="AU47" s="66">
        <f>'Baseline_2020 Population Proj'!L46</f>
        <v>0</v>
      </c>
      <c r="AV47" s="66">
        <f>'Baseline_2020 Population Proj'!O46</f>
        <v>0</v>
      </c>
      <c r="AW47" s="78">
        <f>'Baseline_2020 Population Proj'!R46</f>
        <v>0</v>
      </c>
      <c r="AY47" s="59">
        <v>0</v>
      </c>
      <c r="BA47" s="66">
        <f>MAX(Table136[[#This Row],[IPC 4]],Table136[[#This Row],[SAM]],Table136[[#This Row],[Gap]])</f>
        <v>1396</v>
      </c>
      <c r="BB47" s="79">
        <f>Table136[[#This Row],[Overall Intersectorial Final PiN]]-BA47</f>
        <v>14229.099018350136</v>
      </c>
      <c r="BC47" s="62">
        <f>Table136[[#This Row],[Overall Intersectorial Final PiN]]*0.07</f>
        <v>1093.7569312845096</v>
      </c>
    </row>
    <row r="48" spans="1:55" x14ac:dyDescent="0.2">
      <c r="A48" s="223" t="s">
        <v>35</v>
      </c>
      <c r="B48" s="223" t="s">
        <v>38</v>
      </c>
      <c r="C48" s="223" t="s">
        <v>518</v>
      </c>
      <c r="D48" s="209">
        <f>'Baseline_2020 Population Proj'!C47</f>
        <v>192148.51220252842</v>
      </c>
      <c r="E48" s="209">
        <v>167924</v>
      </c>
      <c r="F48" s="206"/>
      <c r="G48" s="52"/>
      <c r="H48" s="52">
        <v>23845.164828768771</v>
      </c>
      <c r="I48" s="52"/>
      <c r="J48" s="52"/>
      <c r="K48" s="52">
        <v>30004.457529780662</v>
      </c>
      <c r="L48" s="52">
        <v>5142</v>
      </c>
      <c r="M48" s="52">
        <v>56110</v>
      </c>
      <c r="N48" s="52">
        <v>25189</v>
      </c>
      <c r="O48" s="52">
        <v>8396</v>
      </c>
      <c r="P48" s="52">
        <v>33585</v>
      </c>
      <c r="Q48" s="51">
        <v>24569.469913600005</v>
      </c>
      <c r="R48" s="52">
        <v>18672.797134336004</v>
      </c>
      <c r="S48" s="52">
        <v>25892.012019290705</v>
      </c>
      <c r="T48" s="74">
        <v>1219.05</v>
      </c>
      <c r="U48" s="74">
        <v>96074.256101264211</v>
      </c>
      <c r="V48" s="52"/>
      <c r="W48" s="52">
        <v>772.02527224230164</v>
      </c>
      <c r="X48" s="52">
        <v>265.57669365135177</v>
      </c>
      <c r="Y48" s="52">
        <v>21651.294354980902</v>
      </c>
      <c r="Z48" s="52"/>
      <c r="AA48" s="52"/>
      <c r="AB48" s="66">
        <v>67251.979270884942</v>
      </c>
      <c r="AC48" s="52">
        <v>57644.553660758524</v>
      </c>
      <c r="AD48" s="52">
        <v>0</v>
      </c>
      <c r="AE48" s="52">
        <v>0</v>
      </c>
      <c r="AF48" s="52">
        <v>0</v>
      </c>
      <c r="AG48" s="84"/>
      <c r="AH48"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96074.256101264211</v>
      </c>
      <c r="AJ48" s="59">
        <f>Table1345[[#This Row],[FSC PiN]]</f>
        <v>33585</v>
      </c>
      <c r="AK48" s="59">
        <f>Table1345[[#This Row],[Education PiN]]</f>
        <v>56110</v>
      </c>
      <c r="AL48" s="59">
        <f>Table1345[[#This Row],[Nutrition PiN]]</f>
        <v>21651.294354980902</v>
      </c>
      <c r="AM48" s="59">
        <f>Table1345[[#This Row],[WASH_PiN]]</f>
        <v>67251.979270884942</v>
      </c>
      <c r="AN48" s="59">
        <f>Table1345[[#This Row],[Health PiN]]</f>
        <v>96074.256101264211</v>
      </c>
      <c r="AO48" s="59">
        <f>Table1345[[#This Row],[Protection/GBV PiN]]</f>
        <v>25188.748464629451</v>
      </c>
      <c r="AP48" s="59">
        <f>Table1345[[#This Row],[CP_PiN]]</f>
        <v>23845.164828768771</v>
      </c>
      <c r="AQ48" s="59">
        <f>Table1345[[#This Row],[Shelter/NFIs PiN]]</f>
        <v>0</v>
      </c>
      <c r="AR48" s="59">
        <f>Table1345[[#This Row],[CCCM_PiN]]</f>
        <v>0</v>
      </c>
      <c r="AT48" s="79">
        <f>Table136[[#This Row],[Overall Intersectorial Final PiN]]-(Table8[[#This Row],[IDPs]]+Table8[[#This Row],[Returnee Migrants]]+Table8[[#This Row],[Refugees]])</f>
        <v>96074.256101264211</v>
      </c>
      <c r="AU48" s="66">
        <f>'Baseline_2020 Population Proj'!L47</f>
        <v>0</v>
      </c>
      <c r="AV48" s="66">
        <f>'Baseline_2020 Population Proj'!O47</f>
        <v>0</v>
      </c>
      <c r="AW48" s="78">
        <f>'Baseline_2020 Population Proj'!R47</f>
        <v>0</v>
      </c>
      <c r="AY48" s="59">
        <v>39932</v>
      </c>
      <c r="BA48" s="66">
        <f>MAX(Table136[[#This Row],[IPC 4]],Table136[[#This Row],[SAM]],Table136[[#This Row],[Gap]])</f>
        <v>8396</v>
      </c>
      <c r="BB48" s="79">
        <f>Table136[[#This Row],[Overall Intersectorial Final PiN]]-BA48</f>
        <v>87678.256101264211</v>
      </c>
      <c r="BC48" s="62">
        <f>Table136[[#This Row],[Overall Intersectorial Final PiN]]*0.07</f>
        <v>6725.1979270884958</v>
      </c>
    </row>
    <row r="49" spans="1:55" x14ac:dyDescent="0.2">
      <c r="A49" s="223" t="s">
        <v>35</v>
      </c>
      <c r="B49" s="223" t="s">
        <v>45</v>
      </c>
      <c r="C49" s="223" t="s">
        <v>518</v>
      </c>
      <c r="D49" s="209">
        <f>'Baseline_2020 Population Proj'!C48</f>
        <v>130579.39338437033</v>
      </c>
      <c r="E49" s="209">
        <v>114117</v>
      </c>
      <c r="F49" s="206"/>
      <c r="G49" s="52"/>
      <c r="H49" s="52"/>
      <c r="I49" s="52"/>
      <c r="J49" s="52"/>
      <c r="K49" s="52">
        <v>359</v>
      </c>
      <c r="L49" s="52">
        <v>864</v>
      </c>
      <c r="M49" s="52">
        <v>21092</v>
      </c>
      <c r="N49" s="52">
        <v>22823</v>
      </c>
      <c r="O49" s="52">
        <v>5706</v>
      </c>
      <c r="P49" s="52">
        <v>28529</v>
      </c>
      <c r="Q49" s="51">
        <v>16465.097505600002</v>
      </c>
      <c r="R49" s="52">
        <v>12513.474104256002</v>
      </c>
      <c r="S49" s="52">
        <v>17595.573258543904</v>
      </c>
      <c r="T49" s="74">
        <v>779.84999999999991</v>
      </c>
      <c r="U49" s="74">
        <v>39173.818015311095</v>
      </c>
      <c r="V49" s="52"/>
      <c r="W49" s="52">
        <v>331.98150860433134</v>
      </c>
      <c r="X49" s="52">
        <v>0.99594452581300175</v>
      </c>
      <c r="Y49" s="52">
        <v>0</v>
      </c>
      <c r="Z49" s="52"/>
      <c r="AA49" s="52"/>
      <c r="AB49" s="66">
        <v>44396.993750685913</v>
      </c>
      <c r="AC49" s="52">
        <v>37868.024081467389</v>
      </c>
      <c r="AD49" s="52">
        <v>0</v>
      </c>
      <c r="AE49" s="52">
        <v>0</v>
      </c>
      <c r="AF49" s="52">
        <v>0</v>
      </c>
      <c r="AG49" s="84"/>
      <c r="AH49"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44396.993750685913</v>
      </c>
      <c r="AJ49" s="59">
        <f>Table1345[[#This Row],[FSC PiN]]</f>
        <v>28529</v>
      </c>
      <c r="AK49" s="59">
        <f>Table1345[[#This Row],[Education PiN]]</f>
        <v>21092</v>
      </c>
      <c r="AL49" s="59">
        <f>Table1345[[#This Row],[Nutrition PiN]]</f>
        <v>0</v>
      </c>
      <c r="AM49" s="59">
        <f>Table1345[[#This Row],[WASH_PiN]]</f>
        <v>44396.993750685913</v>
      </c>
      <c r="AN49" s="59">
        <f>Table1345[[#This Row],[Health PiN]]</f>
        <v>39173.818015311095</v>
      </c>
      <c r="AO49" s="59">
        <f>Table1345[[#This Row],[Protection/GBV PiN]]</f>
        <v>17117.652678757106</v>
      </c>
      <c r="AP49" s="59">
        <f>Table1345[[#This Row],[CP_PiN]]</f>
        <v>0</v>
      </c>
      <c r="AQ49" s="59">
        <f>Table1345[[#This Row],[Shelter/NFIs PiN]]</f>
        <v>0</v>
      </c>
      <c r="AR49" s="59">
        <f>Table1345[[#This Row],[CCCM_PiN]]</f>
        <v>0</v>
      </c>
      <c r="AT49" s="79">
        <f>Table136[[#This Row],[Overall Intersectorial Final PiN]]-(Table8[[#This Row],[IDPs]]+Table8[[#This Row],[Returnee Migrants]]+Table8[[#This Row],[Refugees]])</f>
        <v>44396.993750685913</v>
      </c>
      <c r="AU49" s="66">
        <f>'Baseline_2020 Population Proj'!L48</f>
        <v>0</v>
      </c>
      <c r="AV49" s="66">
        <f>'Baseline_2020 Population Proj'!O48</f>
        <v>0</v>
      </c>
      <c r="AW49" s="78">
        <f>'Baseline_2020 Population Proj'!R48</f>
        <v>0</v>
      </c>
      <c r="AY49" s="59">
        <v>49680</v>
      </c>
      <c r="BA49" s="66">
        <f>MAX(Table136[[#This Row],[IPC 4]],Table136[[#This Row],[SAM]],Table136[[#This Row],[Gap]])</f>
        <v>5706</v>
      </c>
      <c r="BB49" s="79">
        <f>Table136[[#This Row],[Overall Intersectorial Final PiN]]-BA49</f>
        <v>38690.993750685913</v>
      </c>
      <c r="BC49" s="62">
        <f>Table136[[#This Row],[Overall Intersectorial Final PiN]]*0.07</f>
        <v>3107.7895625480141</v>
      </c>
    </row>
    <row r="50" spans="1:55" x14ac:dyDescent="0.2">
      <c r="A50" s="223" t="s">
        <v>35</v>
      </c>
      <c r="B50" s="223" t="s">
        <v>43</v>
      </c>
      <c r="C50" s="223" t="s">
        <v>517</v>
      </c>
      <c r="D50" s="209">
        <f>'Baseline_2020 Population Proj'!C49</f>
        <v>84587.143990367971</v>
      </c>
      <c r="E50" s="209"/>
      <c r="F50" s="206"/>
      <c r="G50" s="52"/>
      <c r="H50" s="52"/>
      <c r="I50" s="52"/>
      <c r="J50" s="52"/>
      <c r="K50" s="52"/>
      <c r="L50" s="52"/>
      <c r="M50" s="52"/>
      <c r="N50" s="52"/>
      <c r="O50" s="52"/>
      <c r="P50" s="52">
        <v>36919.389909435224</v>
      </c>
      <c r="Q50" s="51">
        <v>11063.186528800001</v>
      </c>
      <c r="R50" s="52">
        <v>8850.5492230400014</v>
      </c>
      <c r="S50" s="52"/>
      <c r="T50" s="74">
        <v>2253</v>
      </c>
      <c r="U50" s="74">
        <v>25376.143197110392</v>
      </c>
      <c r="V50" s="52">
        <v>6090.2743673064942</v>
      </c>
      <c r="W50" s="52">
        <v>317.20178996387995</v>
      </c>
      <c r="X50" s="52">
        <v>418.70636275232141</v>
      </c>
      <c r="Y50" s="52">
        <v>9456.8426981231387</v>
      </c>
      <c r="Z50" s="52"/>
      <c r="AA50" s="52"/>
      <c r="AB50" s="66">
        <v>0</v>
      </c>
      <c r="AC50" s="52">
        <v>0</v>
      </c>
      <c r="AD50" s="52">
        <v>0</v>
      </c>
      <c r="AE50" s="52">
        <v>0</v>
      </c>
      <c r="AF50" s="52">
        <v>0</v>
      </c>
      <c r="AG50" s="84"/>
      <c r="AH50"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36919.389909435224</v>
      </c>
      <c r="AJ50" s="59">
        <f>Table1345[[#This Row],[FSC PiN]]</f>
        <v>36919.389909435224</v>
      </c>
      <c r="AK50" s="59">
        <f>Table1345[[#This Row],[Education PiN]]</f>
        <v>0</v>
      </c>
      <c r="AL50" s="59">
        <f>Table1345[[#This Row],[Nutrition PiN]]</f>
        <v>9456.8426981231387</v>
      </c>
      <c r="AM50" s="59">
        <f>Table1345[[#This Row],[WASH_PiN]]</f>
        <v>0</v>
      </c>
      <c r="AN50" s="59">
        <f>Table1345[[#This Row],[Health PiN]]</f>
        <v>25376.143197110392</v>
      </c>
      <c r="AO50" s="59">
        <f>Table1345[[#This Row],[Protection/GBV PiN]]</f>
        <v>11088.528705697338</v>
      </c>
      <c r="AP50" s="59">
        <f>Table1345[[#This Row],[CP_PiN]]</f>
        <v>0</v>
      </c>
      <c r="AQ50" s="59">
        <f>Table1345[[#This Row],[Shelter/NFIs PiN]]</f>
        <v>0</v>
      </c>
      <c r="AR50" s="59">
        <f>Table1345[[#This Row],[CCCM_PiN]]</f>
        <v>0</v>
      </c>
      <c r="AT50" s="79">
        <f>Table136[[#This Row],[Overall Intersectorial Final PiN]]-(Table8[[#This Row],[IDPs]]+Table8[[#This Row],[Returnee Migrants]]+Table8[[#This Row],[Refugees]])</f>
        <v>36919.389909435224</v>
      </c>
      <c r="AU50" s="66">
        <f>'Baseline_2020 Population Proj'!L49</f>
        <v>0</v>
      </c>
      <c r="AV50" s="66">
        <f>'Baseline_2020 Population Proj'!O49</f>
        <v>0</v>
      </c>
      <c r="AW50" s="78">
        <f>'Baseline_2020 Population Proj'!R49</f>
        <v>0</v>
      </c>
      <c r="AY50" s="59">
        <v>34789</v>
      </c>
      <c r="BA50" s="66">
        <f>MAX(Table136[[#This Row],[IPC 4]],Table136[[#This Row],[SAM]],Table136[[#This Row],[Gap]])</f>
        <v>2253</v>
      </c>
      <c r="BB50" s="79">
        <f>Table136[[#This Row],[Overall Intersectorial Final PiN]]-BA50</f>
        <v>34666.389909435224</v>
      </c>
      <c r="BC50" s="62">
        <f>Table136[[#This Row],[Overall Intersectorial Final PiN]]*0.07</f>
        <v>2584.357293660466</v>
      </c>
    </row>
    <row r="51" spans="1:55" x14ac:dyDescent="0.2">
      <c r="A51" s="223" t="s">
        <v>35</v>
      </c>
      <c r="B51" s="223" t="s">
        <v>46</v>
      </c>
      <c r="C51" s="223" t="s">
        <v>518</v>
      </c>
      <c r="D51" s="209">
        <f>'Baseline_2020 Population Proj'!C50</f>
        <v>141285.59712211051</v>
      </c>
      <c r="E51" s="209">
        <v>123474</v>
      </c>
      <c r="F51" s="206"/>
      <c r="G51" s="52"/>
      <c r="H51" s="52">
        <v>29429.568641668902</v>
      </c>
      <c r="I51" s="52"/>
      <c r="J51" s="52"/>
      <c r="K51" s="52">
        <v>41718.70451128509</v>
      </c>
      <c r="L51" s="52">
        <v>1941</v>
      </c>
      <c r="M51" s="52">
        <v>31741</v>
      </c>
      <c r="N51" s="52">
        <v>37042</v>
      </c>
      <c r="O51" s="52">
        <v>18521</v>
      </c>
      <c r="P51" s="52">
        <v>55563</v>
      </c>
      <c r="Q51" s="51">
        <v>18016.2722072</v>
      </c>
      <c r="R51" s="52">
        <v>13692.366877471999</v>
      </c>
      <c r="S51" s="52">
        <v>19038.234212204392</v>
      </c>
      <c r="T51" s="74">
        <v>481.5</v>
      </c>
      <c r="U51" s="74">
        <v>42385.679136633153</v>
      </c>
      <c r="V51" s="52"/>
      <c r="W51" s="52">
        <v>423.85679136633155</v>
      </c>
      <c r="X51" s="52">
        <v>211.92839568316572</v>
      </c>
      <c r="Y51" s="52">
        <v>16247.84366904271</v>
      </c>
      <c r="Z51" s="52"/>
      <c r="AA51" s="52"/>
      <c r="AB51" s="66">
        <v>25431.407481979892</v>
      </c>
      <c r="AC51" s="52">
        <v>0</v>
      </c>
      <c r="AD51" s="52">
        <v>0</v>
      </c>
      <c r="AE51" s="52">
        <v>0</v>
      </c>
      <c r="AF51" s="52">
        <v>0</v>
      </c>
      <c r="AG51" s="84"/>
      <c r="AH51"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55563</v>
      </c>
      <c r="AJ51" s="59">
        <f>Table1345[[#This Row],[FSC PiN]]</f>
        <v>55563</v>
      </c>
      <c r="AK51" s="59">
        <f>Table1345[[#This Row],[Education PiN]]</f>
        <v>41718.70451128509</v>
      </c>
      <c r="AL51" s="59">
        <f>Table1345[[#This Row],[Nutrition PiN]]</f>
        <v>16247.84366904271</v>
      </c>
      <c r="AM51" s="59">
        <f>Table1345[[#This Row],[WASH_PiN]]</f>
        <v>0</v>
      </c>
      <c r="AN51" s="59">
        <f>Table1345[[#This Row],[Health PiN]]</f>
        <v>42385.679136633153</v>
      </c>
      <c r="AO51" s="59">
        <f>Table1345[[#This Row],[Protection/GBV PiN]]</f>
        <v>18521.128926737467</v>
      </c>
      <c r="AP51" s="59">
        <f>Table1345[[#This Row],[CP_PiN]]</f>
        <v>29429.568641668902</v>
      </c>
      <c r="AQ51" s="59">
        <f>Table1345[[#This Row],[Shelter/NFIs PiN]]</f>
        <v>0</v>
      </c>
      <c r="AR51" s="59">
        <f>Table1345[[#This Row],[CCCM_PiN]]</f>
        <v>0</v>
      </c>
      <c r="AT51" s="79">
        <f>Table136[[#This Row],[Overall Intersectorial Final PiN]]-(Table8[[#This Row],[IDPs]]+Table8[[#This Row],[Returnee Migrants]]+Table8[[#This Row],[Refugees]])</f>
        <v>55563</v>
      </c>
      <c r="AU51" s="66">
        <f>'Baseline_2020 Population Proj'!L50</f>
        <v>0</v>
      </c>
      <c r="AV51" s="66">
        <f>'Baseline_2020 Population Proj'!O50</f>
        <v>0</v>
      </c>
      <c r="AW51" s="78">
        <f>'Baseline_2020 Population Proj'!R50</f>
        <v>0</v>
      </c>
      <c r="AY51" s="59">
        <v>42858</v>
      </c>
      <c r="BA51" s="66">
        <f>MAX(Table136[[#This Row],[IPC 4]],Table136[[#This Row],[SAM]],Table136[[#This Row],[Gap]])</f>
        <v>18521</v>
      </c>
      <c r="BB51" s="79">
        <f>Table136[[#This Row],[Overall Intersectorial Final PiN]]-BA51</f>
        <v>37042</v>
      </c>
      <c r="BC51" s="62">
        <f>Table136[[#This Row],[Overall Intersectorial Final PiN]]*0.07</f>
        <v>3889.4100000000003</v>
      </c>
    </row>
    <row r="52" spans="1:55" x14ac:dyDescent="0.2">
      <c r="A52" s="223" t="s">
        <v>35</v>
      </c>
      <c r="B52" s="223" t="s">
        <v>39</v>
      </c>
      <c r="C52" s="223" t="s">
        <v>518</v>
      </c>
      <c r="D52" s="209">
        <f>'Baseline_2020 Population Proj'!C51</f>
        <v>329157.88510817388</v>
      </c>
      <c r="E52" s="209">
        <v>287661</v>
      </c>
      <c r="F52" s="206"/>
      <c r="G52" s="52"/>
      <c r="H52" s="52">
        <v>28931.812938998875</v>
      </c>
      <c r="I52" s="52">
        <v>36731.514525333332</v>
      </c>
      <c r="J52" s="52">
        <v>36872.843938666665</v>
      </c>
      <c r="K52" s="52">
        <v>33278.567986911592</v>
      </c>
      <c r="L52" s="52">
        <v>5094</v>
      </c>
      <c r="M52" s="52"/>
      <c r="N52" s="52">
        <v>57532</v>
      </c>
      <c r="O52" s="52">
        <v>14383</v>
      </c>
      <c r="P52" s="52">
        <v>71915</v>
      </c>
      <c r="Q52" s="51">
        <v>42171.55543600001</v>
      </c>
      <c r="R52" s="52">
        <v>32050.382131360006</v>
      </c>
      <c r="S52" s="52">
        <v>56450.577296051815</v>
      </c>
      <c r="T52" s="74">
        <v>675.90000000000009</v>
      </c>
      <c r="U52" s="74">
        <v>98747.365532452168</v>
      </c>
      <c r="V52" s="52">
        <v>23699.367727788518</v>
      </c>
      <c r="W52" s="52">
        <v>1828.6549172676325</v>
      </c>
      <c r="X52" s="52">
        <v>1824.9976074330973</v>
      </c>
      <c r="Y52" s="52">
        <v>37853.156787439999</v>
      </c>
      <c r="Z52" s="52"/>
      <c r="AA52" s="52"/>
      <c r="AB52" s="66">
        <v>0</v>
      </c>
      <c r="AC52" s="52">
        <v>0</v>
      </c>
      <c r="AD52" s="52">
        <v>0</v>
      </c>
      <c r="AE52" s="52">
        <v>0</v>
      </c>
      <c r="AF52" s="52">
        <v>0</v>
      </c>
      <c r="AG52" s="84"/>
      <c r="AH52"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98747.365532452168</v>
      </c>
      <c r="AJ52" s="59">
        <f>Table1345[[#This Row],[FSC PiN]]</f>
        <v>71915</v>
      </c>
      <c r="AK52" s="59">
        <f>Table1345[[#This Row],[Education PiN]]</f>
        <v>0</v>
      </c>
      <c r="AL52" s="59">
        <f>Table1345[[#This Row],[Nutrition PiN]]</f>
        <v>37853.156787439999</v>
      </c>
      <c r="AM52" s="59">
        <f>Table1345[[#This Row],[WASH_PiN]]</f>
        <v>0</v>
      </c>
      <c r="AN52" s="59">
        <f>Table1345[[#This Row],[Health PiN]]</f>
        <v>98747.365532452168</v>
      </c>
      <c r="AO52" s="59">
        <f>Table1345[[#This Row],[Protection/GBV PiN]]</f>
        <v>43149.307158830517</v>
      </c>
      <c r="AP52" s="59">
        <f>Table1345[[#This Row],[CP_PiN]]</f>
        <v>36872.843938666665</v>
      </c>
      <c r="AQ52" s="59">
        <f>Table1345[[#This Row],[Shelter/NFIs PiN]]</f>
        <v>0</v>
      </c>
      <c r="AR52" s="59">
        <f>Table1345[[#This Row],[CCCM_PiN]]</f>
        <v>0</v>
      </c>
      <c r="AT52" s="79">
        <f>Table136[[#This Row],[Overall Intersectorial Final PiN]]-(Table8[[#This Row],[IDPs]]+Table8[[#This Row],[Returnee Migrants]]+Table8[[#This Row],[Refugees]])</f>
        <v>96831.365532452168</v>
      </c>
      <c r="AU52" s="66">
        <f>'Baseline_2020 Population Proj'!L51</f>
        <v>0</v>
      </c>
      <c r="AV52" s="66">
        <f>'Baseline_2020 Population Proj'!O51</f>
        <v>1916</v>
      </c>
      <c r="AW52" s="78">
        <f>'Baseline_2020 Population Proj'!R51</f>
        <v>0</v>
      </c>
      <c r="AY52" s="59">
        <v>54879</v>
      </c>
      <c r="BA52" s="66">
        <f>MAX(Table136[[#This Row],[IPC 4]],Table136[[#This Row],[SAM]],Table136[[#This Row],[Gap]])</f>
        <v>14383</v>
      </c>
      <c r="BB52" s="79">
        <f>Table136[[#This Row],[Overall Intersectorial Final PiN]]-BA52</f>
        <v>84364.365532452168</v>
      </c>
      <c r="BC52" s="62">
        <f>Table136[[#This Row],[Overall Intersectorial Final PiN]]*0.07</f>
        <v>6912.3155872716525</v>
      </c>
    </row>
    <row r="53" spans="1:55" x14ac:dyDescent="0.2">
      <c r="A53" s="223" t="s">
        <v>76</v>
      </c>
      <c r="B53" s="223" t="s">
        <v>77</v>
      </c>
      <c r="C53" s="223" t="s">
        <v>518</v>
      </c>
      <c r="D53" s="209">
        <f>'Baseline_2020 Population Proj'!C52</f>
        <v>196913.64880781635</v>
      </c>
      <c r="E53" s="209">
        <v>177566</v>
      </c>
      <c r="F53" s="206"/>
      <c r="G53" s="52"/>
      <c r="H53" s="52"/>
      <c r="I53" s="52">
        <v>22909.037729066669</v>
      </c>
      <c r="J53" s="52">
        <v>22996.277019733338</v>
      </c>
      <c r="K53" s="52">
        <v>9725.4771535045547</v>
      </c>
      <c r="L53" s="52">
        <v>2738</v>
      </c>
      <c r="M53" s="52">
        <v>35591</v>
      </c>
      <c r="N53" s="52">
        <v>53270</v>
      </c>
      <c r="O53" s="52">
        <v>8878</v>
      </c>
      <c r="P53" s="52">
        <v>62148</v>
      </c>
      <c r="Q53" s="51">
        <v>28649.100988000002</v>
      </c>
      <c r="R53" s="52">
        <v>18048.933622439999</v>
      </c>
      <c r="S53" s="52"/>
      <c r="T53" s="74">
        <v>3553</v>
      </c>
      <c r="U53" s="74">
        <v>59074.094642344906</v>
      </c>
      <c r="V53" s="52"/>
      <c r="W53" s="52">
        <v>863.18311806166071</v>
      </c>
      <c r="X53" s="52">
        <v>0</v>
      </c>
      <c r="Y53" s="52">
        <v>22645.069612898882</v>
      </c>
      <c r="Z53" s="52">
        <v>4630</v>
      </c>
      <c r="AA53" s="52">
        <v>24725</v>
      </c>
      <c r="AB53" s="66">
        <v>72858.05005889204</v>
      </c>
      <c r="AC53" s="52">
        <v>0</v>
      </c>
      <c r="AD53" s="52">
        <v>0</v>
      </c>
      <c r="AE53" s="52">
        <v>0</v>
      </c>
      <c r="AF53" s="52">
        <v>0</v>
      </c>
      <c r="AG53" s="84"/>
      <c r="AH53"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72858.05005889204</v>
      </c>
      <c r="AJ53" s="59">
        <f>Table1345[[#This Row],[FSC PiN]]</f>
        <v>62148</v>
      </c>
      <c r="AK53" s="59">
        <f>Table1345[[#This Row],[Education PiN]]</f>
        <v>0</v>
      </c>
      <c r="AL53" s="59">
        <f>Table1345[[#This Row],[Nutrition PiN]]</f>
        <v>22645.069612898882</v>
      </c>
      <c r="AM53" s="59">
        <f>Table1345[[#This Row],[WASH_PiN]]</f>
        <v>72858.05005889204</v>
      </c>
      <c r="AN53" s="59">
        <f>Table1345[[#This Row],[Health PiN]]</f>
        <v>0</v>
      </c>
      <c r="AO53" s="59">
        <f>Table1345[[#This Row],[Protection/GBV PiN]]</f>
        <v>24519.096808602873</v>
      </c>
      <c r="AP53" s="59">
        <f>Table1345[[#This Row],[CP_PiN]]</f>
        <v>22996.277019733338</v>
      </c>
      <c r="AQ53" s="59">
        <f>Table1345[[#This Row],[Shelter/NFIs PiN]]</f>
        <v>24725</v>
      </c>
      <c r="AR53" s="59">
        <f>Table1345[[#This Row],[CCCM_PiN]]</f>
        <v>0</v>
      </c>
      <c r="AT53" s="79">
        <f>Table136[[#This Row],[Overall Intersectorial Final PiN]]-(Table8[[#This Row],[IDPs]]+Table8[[#This Row],[Returnee Migrants]]+Table8[[#This Row],[Refugees]])</f>
        <v>72858.05005889204</v>
      </c>
      <c r="AU53" s="66">
        <v>0</v>
      </c>
      <c r="AV53" s="66">
        <f>'Baseline_2020 Population Proj'!O52</f>
        <v>0</v>
      </c>
      <c r="AW53" s="78">
        <f>'Baseline_2020 Population Proj'!R52</f>
        <v>0</v>
      </c>
      <c r="AY53" s="59">
        <v>51852</v>
      </c>
      <c r="BA53" s="66">
        <f>MAX(Table136[[#This Row],[IPC 4]],Table136[[#This Row],[SAM]],Table136[[#This Row],[Gap]])</f>
        <v>8878</v>
      </c>
      <c r="BB53" s="79">
        <f>Table136[[#This Row],[Overall Intersectorial Final PiN]]-BA53</f>
        <v>63980.05005889204</v>
      </c>
      <c r="BC53" s="62">
        <f>Table136[[#This Row],[Overall Intersectorial Final PiN]]*0.07</f>
        <v>5100.0635041224432</v>
      </c>
    </row>
    <row r="54" spans="1:55" x14ac:dyDescent="0.2">
      <c r="A54" s="223" t="s">
        <v>76</v>
      </c>
      <c r="B54" s="223" t="s">
        <v>91</v>
      </c>
      <c r="C54" s="223" t="s">
        <v>518</v>
      </c>
      <c r="D54" s="209">
        <f>'Baseline_2020 Population Proj'!C53</f>
        <v>334454.59903911548</v>
      </c>
      <c r="E54" s="209">
        <v>301594</v>
      </c>
      <c r="F54" s="206">
        <v>300</v>
      </c>
      <c r="G54" s="52">
        <v>300</v>
      </c>
      <c r="H54" s="52">
        <v>42657.585321957653</v>
      </c>
      <c r="I54" s="52"/>
      <c r="J54" s="52"/>
      <c r="K54" s="52">
        <v>53700.626736858598</v>
      </c>
      <c r="L54" s="52">
        <v>6898</v>
      </c>
      <c r="M54" s="52">
        <v>27596</v>
      </c>
      <c r="N54" s="52">
        <v>90478</v>
      </c>
      <c r="O54" s="52">
        <v>30159</v>
      </c>
      <c r="P54" s="52">
        <v>120637</v>
      </c>
      <c r="Q54" s="51">
        <v>47457.131200000011</v>
      </c>
      <c r="R54" s="52">
        <v>29897.992656000006</v>
      </c>
      <c r="S54" s="52">
        <v>54596.368747145214</v>
      </c>
      <c r="T54" s="74">
        <v>444.90000000000009</v>
      </c>
      <c r="U54" s="74">
        <v>167227.29951955774</v>
      </c>
      <c r="V54" s="52">
        <v>24080.731130816315</v>
      </c>
      <c r="W54" s="52">
        <v>1274.1127582442493</v>
      </c>
      <c r="X54" s="52">
        <v>866.39667560608973</v>
      </c>
      <c r="Y54" s="52">
        <v>35679.616625492839</v>
      </c>
      <c r="Z54" s="52">
        <v>760</v>
      </c>
      <c r="AA54" s="52">
        <v>1325</v>
      </c>
      <c r="AB54" s="66">
        <v>133781.8396156462</v>
      </c>
      <c r="AC54" s="52">
        <v>0</v>
      </c>
      <c r="AD54" s="52">
        <v>0</v>
      </c>
      <c r="AE54" s="52">
        <v>0</v>
      </c>
      <c r="AF54" s="52">
        <v>0</v>
      </c>
      <c r="AG54" s="84"/>
      <c r="AH54"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167227.29951955774</v>
      </c>
      <c r="AJ54" s="59">
        <f>Table1345[[#This Row],[FSC PiN]]</f>
        <v>120637</v>
      </c>
      <c r="AK54" s="59">
        <f>Table1345[[#This Row],[Education PiN]]</f>
        <v>0</v>
      </c>
      <c r="AL54" s="59">
        <f>Table1345[[#This Row],[Nutrition PiN]]</f>
        <v>35679.616625492839</v>
      </c>
      <c r="AM54" s="59">
        <f>Table1345[[#This Row],[WASH_PiN]]</f>
        <v>133781.8396156462</v>
      </c>
      <c r="AN54" s="59">
        <f>Table1345[[#This Row],[Health PiN]]</f>
        <v>167227.29951955774</v>
      </c>
      <c r="AO54" s="59">
        <f>Table1345[[#This Row],[Protection/GBV PiN]]</f>
        <v>41645.283308553546</v>
      </c>
      <c r="AP54" s="59">
        <f>Table1345[[#This Row],[CP_PiN]]</f>
        <v>42657.585321957653</v>
      </c>
      <c r="AQ54" s="59">
        <f>Table1345[[#This Row],[Shelter/NFIs PiN]]</f>
        <v>1325</v>
      </c>
      <c r="AR54" s="59">
        <f>Table1345[[#This Row],[CCCM_PiN]]</f>
        <v>300</v>
      </c>
      <c r="AT54" s="79">
        <f>Table136[[#This Row],[Overall Intersectorial Final PiN]]-(Table8[[#This Row],[IDPs]]+Table8[[#This Row],[Returnee Migrants]]+Table8[[#This Row],[Refugees]])</f>
        <v>167227.29951955774</v>
      </c>
      <c r="AU54" s="66">
        <v>0</v>
      </c>
      <c r="AV54" s="66">
        <f>'Baseline_2020 Population Proj'!O53</f>
        <v>0</v>
      </c>
      <c r="AW54" s="78">
        <f>'Baseline_2020 Population Proj'!R53</f>
        <v>0</v>
      </c>
      <c r="AY54" s="59">
        <v>84976</v>
      </c>
      <c r="BA54" s="66">
        <f>MAX(Table136[[#This Row],[IPC 4]],Table136[[#This Row],[SAM]],Table136[[#This Row],[Gap]])</f>
        <v>30159</v>
      </c>
      <c r="BB54" s="79">
        <f>Table136[[#This Row],[Overall Intersectorial Final PiN]]-BA54</f>
        <v>137068.29951955774</v>
      </c>
      <c r="BC54" s="62">
        <f>Table136[[#This Row],[Overall Intersectorial Final PiN]]*0.07</f>
        <v>11705.910966369043</v>
      </c>
    </row>
    <row r="55" spans="1:55" x14ac:dyDescent="0.2">
      <c r="A55" s="223" t="s">
        <v>76</v>
      </c>
      <c r="B55" s="223" t="s">
        <v>83</v>
      </c>
      <c r="C55" s="223" t="s">
        <v>517</v>
      </c>
      <c r="D55" s="209">
        <f>'Baseline_2020 Population Proj'!C54</f>
        <v>36928.889470671813</v>
      </c>
      <c r="E55" s="209"/>
      <c r="F55" s="206"/>
      <c r="G55" s="52"/>
      <c r="H55" s="52"/>
      <c r="I55" s="52"/>
      <c r="J55" s="52"/>
      <c r="K55" s="52"/>
      <c r="L55" s="52"/>
      <c r="M55" s="52"/>
      <c r="N55" s="52"/>
      <c r="O55" s="52"/>
      <c r="P55" s="52">
        <v>16319.491119010396</v>
      </c>
      <c r="Q55" s="51">
        <v>5287.2816320000002</v>
      </c>
      <c r="R55" s="52">
        <v>4229.8253056000003</v>
      </c>
      <c r="S55" s="52"/>
      <c r="T55" s="74">
        <v>988</v>
      </c>
      <c r="U55" s="74">
        <v>11078.666841201544</v>
      </c>
      <c r="V55" s="52">
        <v>2658.8800418883707</v>
      </c>
      <c r="W55" s="52">
        <v>53.177600837767407</v>
      </c>
      <c r="X55" s="52">
        <v>23.634489261229952</v>
      </c>
      <c r="Y55" s="52">
        <v>0</v>
      </c>
      <c r="Z55" s="52"/>
      <c r="AA55" s="52"/>
      <c r="AB55" s="66">
        <v>9232.2223676679532</v>
      </c>
      <c r="AC55" s="52">
        <v>10340.089051788109</v>
      </c>
      <c r="AD55" s="52">
        <v>0</v>
      </c>
      <c r="AE55" s="52">
        <v>0</v>
      </c>
      <c r="AF55" s="52">
        <v>0</v>
      </c>
      <c r="AG55" s="84"/>
      <c r="AH55"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16319.491119010396</v>
      </c>
      <c r="AJ55" s="59">
        <f>Table1345[[#This Row],[FSC PiN]]</f>
        <v>16319.491119010396</v>
      </c>
      <c r="AK55" s="59">
        <f>Table1345[[#This Row],[Education PiN]]</f>
        <v>0</v>
      </c>
      <c r="AL55" s="59">
        <f>Table1345[[#This Row],[Nutrition PiN]]</f>
        <v>0</v>
      </c>
      <c r="AM55" s="59">
        <f>Table1345[[#This Row],[WASH_PiN]]</f>
        <v>10340.089051788109</v>
      </c>
      <c r="AN55" s="59">
        <f>Table1345[[#This Row],[Health PiN]]</f>
        <v>11078.666841201544</v>
      </c>
      <c r="AO55" s="59">
        <f>Table1345[[#This Row],[Protection/GBV PiN]]</f>
        <v>4598.2745302196417</v>
      </c>
      <c r="AP55" s="59">
        <f>Table1345[[#This Row],[CP_PiN]]</f>
        <v>0</v>
      </c>
      <c r="AQ55" s="59">
        <f>Table1345[[#This Row],[Shelter/NFIs PiN]]</f>
        <v>0</v>
      </c>
      <c r="AR55" s="59">
        <f>Table1345[[#This Row],[CCCM_PiN]]</f>
        <v>0</v>
      </c>
      <c r="AT55" s="79">
        <f>Table136[[#This Row],[Overall Intersectorial Final PiN]]-(Table8[[#This Row],[IDPs]]+Table8[[#This Row],[Returnee Migrants]]+Table8[[#This Row],[Refugees]])</f>
        <v>16319.491119010396</v>
      </c>
      <c r="AU55" s="66">
        <f>'Baseline_2020 Population Proj'!L54</f>
        <v>0</v>
      </c>
      <c r="AV55" s="66">
        <f>'Baseline_2020 Population Proj'!O54</f>
        <v>0</v>
      </c>
      <c r="AW55" s="78">
        <f>'Baseline_2020 Population Proj'!R54</f>
        <v>0</v>
      </c>
      <c r="AY55" s="59">
        <v>0</v>
      </c>
      <c r="BA55" s="66">
        <f>MAX(Table136[[#This Row],[IPC 4]],Table136[[#This Row],[SAM]],Table136[[#This Row],[Gap]])</f>
        <v>988</v>
      </c>
      <c r="BB55" s="79">
        <f>Table136[[#This Row],[Overall Intersectorial Final PiN]]-BA55</f>
        <v>15331.491119010396</v>
      </c>
      <c r="BC55" s="62">
        <f>Table136[[#This Row],[Overall Intersectorial Final PiN]]*0.07</f>
        <v>1142.3643783307277</v>
      </c>
    </row>
    <row r="56" spans="1:55" x14ac:dyDescent="0.2">
      <c r="A56" s="223" t="s">
        <v>76</v>
      </c>
      <c r="B56" s="223" t="s">
        <v>78</v>
      </c>
      <c r="C56" s="223" t="s">
        <v>518</v>
      </c>
      <c r="D56" s="209">
        <f>'Baseline_2020 Population Proj'!C55</f>
        <v>201392.70782040147</v>
      </c>
      <c r="E56" s="209">
        <v>181605</v>
      </c>
      <c r="F56" s="206"/>
      <c r="G56" s="52"/>
      <c r="H56" s="52"/>
      <c r="I56" s="52">
        <v>26320.980486666667</v>
      </c>
      <c r="J56" s="52">
        <v>26410.204149333334</v>
      </c>
      <c r="K56" s="52">
        <v>16478.62459952003</v>
      </c>
      <c r="L56" s="52">
        <v>3791</v>
      </c>
      <c r="M56" s="52"/>
      <c r="N56" s="52">
        <v>45401</v>
      </c>
      <c r="O56" s="52">
        <v>27241</v>
      </c>
      <c r="P56" s="52">
        <v>72642</v>
      </c>
      <c r="Q56" s="51">
        <v>29237.26684</v>
      </c>
      <c r="R56" s="52">
        <v>18419.478109200001</v>
      </c>
      <c r="S56" s="52"/>
      <c r="T56" s="74">
        <v>2967</v>
      </c>
      <c r="U56" s="74"/>
      <c r="V56" s="52"/>
      <c r="W56" s="52">
        <v>225.55983275884967</v>
      </c>
      <c r="X56" s="52">
        <v>3383.3974913827451</v>
      </c>
      <c r="Y56" s="52">
        <v>23160.161399346172</v>
      </c>
      <c r="Z56" s="52"/>
      <c r="AA56" s="52"/>
      <c r="AB56" s="66">
        <v>0</v>
      </c>
      <c r="AC56" s="52">
        <v>0</v>
      </c>
      <c r="AD56" s="52">
        <v>0</v>
      </c>
      <c r="AE56" s="52">
        <v>0</v>
      </c>
      <c r="AF56" s="52">
        <v>0</v>
      </c>
      <c r="AG56" s="84"/>
      <c r="AH56"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72642</v>
      </c>
      <c r="AJ56" s="59">
        <f>Table1345[[#This Row],[FSC PiN]]</f>
        <v>72642</v>
      </c>
      <c r="AK56" s="59">
        <f>Table1345[[#This Row],[Education PiN]]</f>
        <v>0</v>
      </c>
      <c r="AL56" s="59">
        <f>Table1345[[#This Row],[Nutrition PiN]]</f>
        <v>23160.161399346172</v>
      </c>
      <c r="AM56" s="59">
        <f>Table1345[[#This Row],[WASH_PiN]]</f>
        <v>0</v>
      </c>
      <c r="AN56" s="59">
        <f>Table1345[[#This Row],[Health PiN]]</f>
        <v>0</v>
      </c>
      <c r="AO56" s="59">
        <f>Table1345[[#This Row],[Protection/GBV PiN]]</f>
        <v>25076.815799672931</v>
      </c>
      <c r="AP56" s="59">
        <f>Table1345[[#This Row],[CP_PiN]]</f>
        <v>26410.204149333334</v>
      </c>
      <c r="AQ56" s="59">
        <f>Table1345[[#This Row],[Shelter/NFIs PiN]]</f>
        <v>0</v>
      </c>
      <c r="AR56" s="59">
        <f>Table1345[[#This Row],[CCCM_PiN]]</f>
        <v>0</v>
      </c>
      <c r="AT56" s="79">
        <f>Table136[[#This Row],[Overall Intersectorial Final PiN]]-(Table8[[#This Row],[IDPs]]+Table8[[#This Row],[Returnee Migrants]]+Table8[[#This Row],[Refugees]])</f>
        <v>72642</v>
      </c>
      <c r="AU56" s="66">
        <f>'Baseline_2020 Population Proj'!L55</f>
        <v>0</v>
      </c>
      <c r="AV56" s="66">
        <f>'Baseline_2020 Population Proj'!O55</f>
        <v>0</v>
      </c>
      <c r="AW56" s="78">
        <f>'Baseline_2020 Population Proj'!R55</f>
        <v>0</v>
      </c>
      <c r="AY56" s="59">
        <v>58005</v>
      </c>
      <c r="BA56" s="66">
        <f>MAX(Table136[[#This Row],[IPC 4]],Table136[[#This Row],[SAM]],Table136[[#This Row],[Gap]])</f>
        <v>27241</v>
      </c>
      <c r="BB56" s="79">
        <f>Table136[[#This Row],[Overall Intersectorial Final PiN]]-BA56</f>
        <v>45401</v>
      </c>
      <c r="BC56" s="62">
        <f>Table136[[#This Row],[Overall Intersectorial Final PiN]]*0.07</f>
        <v>5084.9400000000005</v>
      </c>
    </row>
    <row r="57" spans="1:55" x14ac:dyDescent="0.2">
      <c r="A57" s="223" t="s">
        <v>76</v>
      </c>
      <c r="B57" s="223" t="s">
        <v>79</v>
      </c>
      <c r="C57" s="223" t="s">
        <v>518</v>
      </c>
      <c r="D57" s="209">
        <f>'Baseline_2020 Population Proj'!C56</f>
        <v>246309.4344578443</v>
      </c>
      <c r="E57" s="209">
        <v>222109</v>
      </c>
      <c r="F57" s="206"/>
      <c r="G57" s="52"/>
      <c r="H57" s="52"/>
      <c r="I57" s="52"/>
      <c r="J57" s="52"/>
      <c r="K57" s="52">
        <v>14389.129614321211</v>
      </c>
      <c r="L57" s="52">
        <v>5564</v>
      </c>
      <c r="M57" s="52"/>
      <c r="N57" s="52">
        <v>77738</v>
      </c>
      <c r="O57" s="52">
        <v>11105</v>
      </c>
      <c r="P57" s="52">
        <v>88843</v>
      </c>
      <c r="Q57" s="51">
        <v>35489.919348000003</v>
      </c>
      <c r="R57" s="52">
        <v>22358.649189240001</v>
      </c>
      <c r="S57" s="52">
        <v>31591.648063563116</v>
      </c>
      <c r="T57" s="74">
        <v>1230.7499999999998</v>
      </c>
      <c r="U57" s="74">
        <v>73892.830337353284</v>
      </c>
      <c r="V57" s="52"/>
      <c r="W57" s="52">
        <v>0</v>
      </c>
      <c r="X57" s="52">
        <v>0</v>
      </c>
      <c r="Y57" s="52">
        <v>0</v>
      </c>
      <c r="Z57" s="52">
        <v>3400</v>
      </c>
      <c r="AA57" s="52">
        <v>8273</v>
      </c>
      <c r="AB57" s="66">
        <v>71429.735992774848</v>
      </c>
      <c r="AC57" s="52">
        <v>88671.396404823943</v>
      </c>
      <c r="AD57" s="52">
        <v>0</v>
      </c>
      <c r="AE57" s="52">
        <v>0</v>
      </c>
      <c r="AF57" s="52">
        <v>0</v>
      </c>
      <c r="AG57" s="84"/>
      <c r="AH57"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88843</v>
      </c>
      <c r="AJ57" s="59">
        <f>Table1345[[#This Row],[FSC PiN]]</f>
        <v>88843</v>
      </c>
      <c r="AK57" s="59">
        <f>Table1345[[#This Row],[Education PiN]]</f>
        <v>0</v>
      </c>
      <c r="AL57" s="59">
        <f>Table1345[[#This Row],[Nutrition PiN]]</f>
        <v>0</v>
      </c>
      <c r="AM57" s="59">
        <f>Table1345[[#This Row],[WASH_PiN]]</f>
        <v>88671.396404823943</v>
      </c>
      <c r="AN57" s="59">
        <f>Table1345[[#This Row],[Health PiN]]</f>
        <v>73892.830337353284</v>
      </c>
      <c r="AO57" s="59">
        <f>Table1345[[#This Row],[Protection/GBV PiN]]</f>
        <v>30669.711850387401</v>
      </c>
      <c r="AP57" s="59">
        <f>Table1345[[#This Row],[CP_PiN]]</f>
        <v>0</v>
      </c>
      <c r="AQ57" s="59">
        <f>Table1345[[#This Row],[Shelter/NFIs PiN]]</f>
        <v>8273</v>
      </c>
      <c r="AR57" s="59">
        <f>Table1345[[#This Row],[CCCM_PiN]]</f>
        <v>0</v>
      </c>
      <c r="AT57" s="79">
        <f>Table136[[#This Row],[Overall Intersectorial Final PiN]]-(Table8[[#This Row],[IDPs]]+Table8[[#This Row],[Returnee Migrants]]+Table8[[#This Row],[Refugees]])</f>
        <v>88843</v>
      </c>
      <c r="AU57" s="66">
        <v>0</v>
      </c>
      <c r="AV57" s="66">
        <f>'Baseline_2020 Population Proj'!O56</f>
        <v>0</v>
      </c>
      <c r="AW57" s="78">
        <f>'Baseline_2020 Population Proj'!R56</f>
        <v>0</v>
      </c>
      <c r="AY57" s="59">
        <v>42130</v>
      </c>
      <c r="BA57" s="66">
        <f>MAX(Table136[[#This Row],[IPC 4]],Table136[[#This Row],[SAM]],Table136[[#This Row],[Gap]])</f>
        <v>11105</v>
      </c>
      <c r="BB57" s="79">
        <f>Table136[[#This Row],[Overall Intersectorial Final PiN]]-BA57</f>
        <v>77738</v>
      </c>
      <c r="BC57" s="62">
        <f>Table136[[#This Row],[Overall Intersectorial Final PiN]]*0.07</f>
        <v>6219.01</v>
      </c>
    </row>
    <row r="58" spans="1:55" x14ac:dyDescent="0.2">
      <c r="A58" s="223" t="s">
        <v>76</v>
      </c>
      <c r="B58" s="223" t="s">
        <v>76</v>
      </c>
      <c r="C58" s="223" t="s">
        <v>518</v>
      </c>
      <c r="D58" s="209">
        <f>'Baseline_2020 Population Proj'!C57</f>
        <v>256172.3393834717</v>
      </c>
      <c r="E58" s="209">
        <v>231003</v>
      </c>
      <c r="F58" s="206"/>
      <c r="G58" s="52"/>
      <c r="H58" s="52"/>
      <c r="I58" s="52"/>
      <c r="J58" s="52"/>
      <c r="K58" s="52">
        <v>30571.299669191278</v>
      </c>
      <c r="L58" s="52">
        <v>5376</v>
      </c>
      <c r="M58" s="52">
        <v>50919</v>
      </c>
      <c r="N58" s="52">
        <v>69301</v>
      </c>
      <c r="O58" s="52">
        <v>11550</v>
      </c>
      <c r="P58" s="52">
        <v>80851</v>
      </c>
      <c r="Q58" s="51">
        <v>36749.956384000005</v>
      </c>
      <c r="R58" s="52">
        <v>23152.472521920005</v>
      </c>
      <c r="S58" s="52">
        <v>41817.572680957921</v>
      </c>
      <c r="T58" s="74">
        <v>452.40000000000009</v>
      </c>
      <c r="U58" s="74">
        <v>76851.70181504151</v>
      </c>
      <c r="V58" s="52"/>
      <c r="W58" s="52">
        <v>379.5145768644025</v>
      </c>
      <c r="X58" s="52">
        <v>0</v>
      </c>
      <c r="Y58" s="52">
        <v>0</v>
      </c>
      <c r="Z58" s="52">
        <v>5445</v>
      </c>
      <c r="AA58" s="52">
        <v>3270</v>
      </c>
      <c r="AB58" s="66">
        <v>84536.871996545669</v>
      </c>
      <c r="AC58" s="52">
        <v>0</v>
      </c>
      <c r="AD58" s="52">
        <v>0</v>
      </c>
      <c r="AE58" s="52">
        <v>0</v>
      </c>
      <c r="AF58" s="52">
        <v>0</v>
      </c>
      <c r="AG58" s="84"/>
      <c r="AH58"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84536.871996545669</v>
      </c>
      <c r="AJ58" s="59">
        <f>Table1345[[#This Row],[FSC PiN]]</f>
        <v>80851</v>
      </c>
      <c r="AK58" s="59">
        <f>Table1345[[#This Row],[Education PiN]]</f>
        <v>50919</v>
      </c>
      <c r="AL58" s="59">
        <f>Table1345[[#This Row],[Nutrition PiN]]</f>
        <v>0</v>
      </c>
      <c r="AM58" s="59">
        <f>Table1345[[#This Row],[WASH_PiN]]</f>
        <v>84536.871996545669</v>
      </c>
      <c r="AN58" s="59">
        <f>Table1345[[#This Row],[Health PiN]]</f>
        <v>76851.70181504151</v>
      </c>
      <c r="AO58" s="59">
        <f>Table1345[[#This Row],[Protection/GBV PiN]]</f>
        <v>31897.811183011749</v>
      </c>
      <c r="AP58" s="59">
        <f>Table1345[[#This Row],[CP_PiN]]</f>
        <v>0</v>
      </c>
      <c r="AQ58" s="59">
        <f>Table1345[[#This Row],[Shelter/NFIs PiN]]</f>
        <v>5445</v>
      </c>
      <c r="AR58" s="59">
        <f>Table1345[[#This Row],[CCCM_PiN]]</f>
        <v>0</v>
      </c>
      <c r="AT58" s="79">
        <f>Table136[[#This Row],[Overall Intersectorial Final PiN]]-(Table8[[#This Row],[IDPs]]+Table8[[#This Row],[Returnee Migrants]]+Table8[[#This Row],[Refugees]])</f>
        <v>82707.871996545669</v>
      </c>
      <c r="AU58" s="66">
        <v>0</v>
      </c>
      <c r="AV58" s="66">
        <f>'Baseline_2020 Population Proj'!O57</f>
        <v>1829</v>
      </c>
      <c r="AW58" s="78">
        <f>'Baseline_2020 Population Proj'!R57</f>
        <v>0</v>
      </c>
      <c r="AY58" s="59">
        <v>54551</v>
      </c>
      <c r="BA58" s="66">
        <f>MAX(Table136[[#This Row],[IPC 4]],Table136[[#This Row],[SAM]],Table136[[#This Row],[Gap]])</f>
        <v>11550</v>
      </c>
      <c r="BB58" s="79">
        <f>Table136[[#This Row],[Overall Intersectorial Final PiN]]-BA58</f>
        <v>72986.871996545669</v>
      </c>
      <c r="BC58" s="62">
        <f>Table136[[#This Row],[Overall Intersectorial Final PiN]]*0.07</f>
        <v>5917.5810397581972</v>
      </c>
    </row>
    <row r="59" spans="1:55" x14ac:dyDescent="0.2">
      <c r="A59" s="223" t="s">
        <v>76</v>
      </c>
      <c r="B59" s="223" t="s">
        <v>82</v>
      </c>
      <c r="C59" s="223" t="s">
        <v>517</v>
      </c>
      <c r="D59" s="209">
        <f>'Baseline_2020 Population Proj'!C58</f>
        <v>106592.62940158509</v>
      </c>
      <c r="E59" s="209"/>
      <c r="F59" s="206"/>
      <c r="G59" s="52"/>
      <c r="H59" s="52"/>
      <c r="I59" s="52"/>
      <c r="J59" s="52"/>
      <c r="K59" s="52"/>
      <c r="L59" s="52"/>
      <c r="M59" s="52"/>
      <c r="N59" s="52"/>
      <c r="O59" s="52"/>
      <c r="P59" s="52">
        <v>55635.602971636428</v>
      </c>
      <c r="Q59" s="51">
        <v>15446.663880000002</v>
      </c>
      <c r="R59" s="52">
        <v>12357.331104000003</v>
      </c>
      <c r="S59" s="52">
        <v>13671.570647047305</v>
      </c>
      <c r="T59" s="74">
        <v>452.25</v>
      </c>
      <c r="U59" s="74"/>
      <c r="V59" s="52"/>
      <c r="W59" s="52">
        <v>579.86390394462296</v>
      </c>
      <c r="X59" s="52">
        <v>85.274103521268103</v>
      </c>
      <c r="Y59" s="52">
        <v>11831.781863575947</v>
      </c>
      <c r="Z59" s="52"/>
      <c r="AA59" s="52"/>
      <c r="AB59" s="66">
        <v>0</v>
      </c>
      <c r="AC59" s="52">
        <v>0</v>
      </c>
      <c r="AD59" s="52">
        <v>0</v>
      </c>
      <c r="AE59" s="52">
        <v>0</v>
      </c>
      <c r="AF59" s="52">
        <v>0</v>
      </c>
      <c r="AG59" s="84"/>
      <c r="AH59"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55635.602971636428</v>
      </c>
      <c r="AJ59" s="59">
        <f>Table1345[[#This Row],[FSC PiN]]</f>
        <v>55635.602971636428</v>
      </c>
      <c r="AK59" s="59">
        <f>Table1345[[#This Row],[Education PiN]]</f>
        <v>0</v>
      </c>
      <c r="AL59" s="59">
        <f>Table1345[[#This Row],[Nutrition PiN]]</f>
        <v>11831.781863575947</v>
      </c>
      <c r="AM59" s="59">
        <f>Table1345[[#This Row],[WASH_PiN]]</f>
        <v>0</v>
      </c>
      <c r="AN59" s="59">
        <f>Table1345[[#This Row],[Health PiN]]</f>
        <v>13671.570647047305</v>
      </c>
      <c r="AO59" s="59">
        <f>Table1345[[#This Row],[Protection/GBV PiN]]</f>
        <v>13272.59443519717</v>
      </c>
      <c r="AP59" s="59">
        <f>Table1345[[#This Row],[CP_PiN]]</f>
        <v>0</v>
      </c>
      <c r="AQ59" s="59">
        <f>Table1345[[#This Row],[Shelter/NFIs PiN]]</f>
        <v>0</v>
      </c>
      <c r="AR59" s="59">
        <f>Table1345[[#This Row],[CCCM_PiN]]</f>
        <v>0</v>
      </c>
      <c r="AT59" s="79">
        <f>Table136[[#This Row],[Overall Intersectorial Final PiN]]-(Table8[[#This Row],[IDPs]]+Table8[[#This Row],[Returnee Migrants]]+Table8[[#This Row],[Refugees]])</f>
        <v>55635.602971636428</v>
      </c>
      <c r="AU59" s="66">
        <f>'Baseline_2020 Population Proj'!L58</f>
        <v>0</v>
      </c>
      <c r="AV59" s="66">
        <f>'Baseline_2020 Population Proj'!O58</f>
        <v>0</v>
      </c>
      <c r="AW59" s="78">
        <f>'Baseline_2020 Population Proj'!R58</f>
        <v>0</v>
      </c>
      <c r="AY59" s="59">
        <v>9843</v>
      </c>
      <c r="BA59" s="66">
        <f>MAX(Table136[[#This Row],[IPC 4]],Table136[[#This Row],[SAM]],Table136[[#This Row],[Gap]])</f>
        <v>579.86390394462296</v>
      </c>
      <c r="BB59" s="79">
        <f>Table136[[#This Row],[Overall Intersectorial Final PiN]]-BA59</f>
        <v>55055.739067691808</v>
      </c>
      <c r="BC59" s="62">
        <f>Table136[[#This Row],[Overall Intersectorial Final PiN]]*0.07</f>
        <v>3894.4922080145502</v>
      </c>
    </row>
    <row r="60" spans="1:55" x14ac:dyDescent="0.2">
      <c r="A60" s="223" t="s">
        <v>76</v>
      </c>
      <c r="B60" s="223" t="s">
        <v>80</v>
      </c>
      <c r="C60" s="223" t="s">
        <v>518</v>
      </c>
      <c r="D60" s="209">
        <f>'Baseline_2020 Population Proj'!C59</f>
        <v>202537.63923331245</v>
      </c>
      <c r="E60" s="209">
        <v>182638</v>
      </c>
      <c r="F60" s="206"/>
      <c r="G60" s="52"/>
      <c r="H60" s="52">
        <v>17973.881796446542</v>
      </c>
      <c r="I60" s="52">
        <v>23024.950308533334</v>
      </c>
      <c r="J60" s="52">
        <v>23114.681213866668</v>
      </c>
      <c r="K60" s="52">
        <v>22886.435795620953</v>
      </c>
      <c r="L60" s="52">
        <v>10629</v>
      </c>
      <c r="M60" s="52"/>
      <c r="N60" s="52">
        <v>45660</v>
      </c>
      <c r="O60" s="52">
        <v>36528</v>
      </c>
      <c r="P60" s="52">
        <v>82188</v>
      </c>
      <c r="Q60" s="51">
        <v>29233.797196000003</v>
      </c>
      <c r="R60" s="52">
        <v>18417.292233480002</v>
      </c>
      <c r="S60" s="52"/>
      <c r="T60" s="74">
        <v>3484</v>
      </c>
      <c r="U60" s="74">
        <v>60761.291769993732</v>
      </c>
      <c r="V60" s="52">
        <v>14582.710024798498</v>
      </c>
      <c r="W60" s="52">
        <v>611.43438259113191</v>
      </c>
      <c r="X60" s="52">
        <v>295.93424117410791</v>
      </c>
      <c r="Y60" s="52">
        <v>23291.828511830932</v>
      </c>
      <c r="Z60" s="52"/>
      <c r="AA60" s="52"/>
      <c r="AB60" s="66">
        <v>81015.05569332499</v>
      </c>
      <c r="AC60" s="52">
        <v>0</v>
      </c>
      <c r="AD60" s="52">
        <v>0</v>
      </c>
      <c r="AE60" s="52">
        <v>0</v>
      </c>
      <c r="AF60" s="52">
        <v>0</v>
      </c>
      <c r="AG60" s="84"/>
      <c r="AH60"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82188</v>
      </c>
      <c r="AJ60" s="59">
        <f>Table1345[[#This Row],[FSC PiN]]</f>
        <v>82188</v>
      </c>
      <c r="AK60" s="59">
        <f>Table1345[[#This Row],[Education PiN]]</f>
        <v>0</v>
      </c>
      <c r="AL60" s="59">
        <f>Table1345[[#This Row],[Nutrition PiN]]</f>
        <v>23291.828511830932</v>
      </c>
      <c r="AM60" s="59">
        <f>Table1345[[#This Row],[WASH_PiN]]</f>
        <v>81015.05569332499</v>
      </c>
      <c r="AN60" s="59">
        <f>Table1345[[#This Row],[Health PiN]]</f>
        <v>60761.291769993732</v>
      </c>
      <c r="AO60" s="59">
        <f>Table1345[[#This Row],[Protection/GBV PiN]]</f>
        <v>25219.37922441437</v>
      </c>
      <c r="AP60" s="59">
        <f>Table1345[[#This Row],[CP_PiN]]</f>
        <v>23114.681213866668</v>
      </c>
      <c r="AQ60" s="59">
        <f>Table1345[[#This Row],[Shelter/NFIs PiN]]</f>
        <v>0</v>
      </c>
      <c r="AR60" s="59">
        <f>Table1345[[#This Row],[CCCM_PiN]]</f>
        <v>0</v>
      </c>
      <c r="AT60" s="79">
        <f>Table136[[#This Row],[Overall Intersectorial Final PiN]]-(Table8[[#This Row],[IDPs]]+Table8[[#This Row],[Returnee Migrants]]+Table8[[#This Row],[Refugees]])</f>
        <v>82188</v>
      </c>
      <c r="AU60" s="66">
        <f>'Baseline_2020 Population Proj'!L59</f>
        <v>0</v>
      </c>
      <c r="AV60" s="66">
        <f>'Baseline_2020 Population Proj'!O59</f>
        <v>0</v>
      </c>
      <c r="AW60" s="78">
        <f>'Baseline_2020 Population Proj'!R59</f>
        <v>0</v>
      </c>
      <c r="AY60" s="59">
        <v>95279</v>
      </c>
      <c r="BA60" s="66">
        <f>MAX(Table136[[#This Row],[IPC 4]],Table136[[#This Row],[SAM]],Table136[[#This Row],[Gap]])</f>
        <v>36528</v>
      </c>
      <c r="BB60" s="79">
        <f>Table136[[#This Row],[Overall Intersectorial Final PiN]]-BA60</f>
        <v>45660</v>
      </c>
      <c r="BC60" s="62">
        <f>Table136[[#This Row],[Overall Intersectorial Final PiN]]*0.07</f>
        <v>5753.1600000000008</v>
      </c>
    </row>
    <row r="61" spans="1:55" x14ac:dyDescent="0.2">
      <c r="A61" s="223" t="s">
        <v>76</v>
      </c>
      <c r="B61" s="223" t="s">
        <v>81</v>
      </c>
      <c r="C61" s="223" t="s">
        <v>518</v>
      </c>
      <c r="D61" s="209">
        <f>'Baseline_2020 Population Proj'!C60</f>
        <v>219891.11238578134</v>
      </c>
      <c r="E61" s="209">
        <v>198286</v>
      </c>
      <c r="F61" s="206"/>
      <c r="G61" s="52"/>
      <c r="H61" s="52"/>
      <c r="I61" s="52">
        <v>28884.754452666668</v>
      </c>
      <c r="J61" s="52">
        <v>28982.173523333335</v>
      </c>
      <c r="K61" s="52">
        <v>13817.480854199464</v>
      </c>
      <c r="L61" s="52">
        <v>7144</v>
      </c>
      <c r="M61" s="52"/>
      <c r="N61" s="52">
        <v>59486</v>
      </c>
      <c r="O61" s="52">
        <v>9914</v>
      </c>
      <c r="P61" s="52">
        <v>69400</v>
      </c>
      <c r="Q61" s="51">
        <v>32002.005808000002</v>
      </c>
      <c r="R61" s="52">
        <v>20161.263659040003</v>
      </c>
      <c r="S61" s="52"/>
      <c r="T61" s="74">
        <v>3257</v>
      </c>
      <c r="U61" s="74">
        <v>65967.333715734392</v>
      </c>
      <c r="V61" s="52"/>
      <c r="W61" s="52">
        <v>325.76461094189824</v>
      </c>
      <c r="X61" s="52">
        <v>659.34757254640215</v>
      </c>
      <c r="Y61" s="52">
        <v>23827.400938123268</v>
      </c>
      <c r="Z61" s="52">
        <v>405</v>
      </c>
      <c r="AA61" s="52">
        <v>2530</v>
      </c>
      <c r="AB61" s="66">
        <v>116542.28956446411</v>
      </c>
      <c r="AC61" s="52">
        <v>72564.067087307849</v>
      </c>
      <c r="AD61" s="52">
        <v>0</v>
      </c>
      <c r="AE61" s="52">
        <v>0</v>
      </c>
      <c r="AF61" s="52">
        <v>0</v>
      </c>
      <c r="AG61" s="84"/>
      <c r="AH61"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116542.28956446411</v>
      </c>
      <c r="AJ61" s="59">
        <f>Table1345[[#This Row],[FSC PiN]]</f>
        <v>69400</v>
      </c>
      <c r="AK61" s="59">
        <f>Table1345[[#This Row],[Education PiN]]</f>
        <v>0</v>
      </c>
      <c r="AL61" s="59">
        <f>Table1345[[#This Row],[Nutrition PiN]]</f>
        <v>23827.400938123268</v>
      </c>
      <c r="AM61" s="59">
        <f>Table1345[[#This Row],[WASH_PiN]]</f>
        <v>116542.28956446411</v>
      </c>
      <c r="AN61" s="59">
        <f>Table1345[[#This Row],[Health PiN]]</f>
        <v>0</v>
      </c>
      <c r="AO61" s="59">
        <f>Table1345[[#This Row],[Protection/GBV PiN]]</f>
        <v>27380.181640940336</v>
      </c>
      <c r="AP61" s="59">
        <f>Table1345[[#This Row],[CP_PiN]]</f>
        <v>28982.173523333335</v>
      </c>
      <c r="AQ61" s="59">
        <f>Table1345[[#This Row],[Shelter/NFIs PiN]]</f>
        <v>2530</v>
      </c>
      <c r="AR61" s="59">
        <f>Table1345[[#This Row],[CCCM_PiN]]</f>
        <v>0</v>
      </c>
      <c r="AT61" s="79">
        <f>Table136[[#This Row],[Overall Intersectorial Final PiN]]-(Table8[[#This Row],[IDPs]]+Table8[[#This Row],[Returnee Migrants]]+Table8[[#This Row],[Refugees]])</f>
        <v>116542.28956446411</v>
      </c>
      <c r="AU61" s="66">
        <v>0</v>
      </c>
      <c r="AV61" s="66">
        <f>'Baseline_2020 Population Proj'!O60</f>
        <v>0</v>
      </c>
      <c r="AW61" s="78">
        <f>'Baseline_2020 Population Proj'!R60</f>
        <v>0</v>
      </c>
      <c r="AY61" s="59">
        <v>136948</v>
      </c>
      <c r="BA61" s="66">
        <f>MAX(Table136[[#This Row],[IPC 4]],Table136[[#This Row],[SAM]],Table136[[#This Row],[Gap]])</f>
        <v>9914</v>
      </c>
      <c r="BB61" s="79">
        <f>Table136[[#This Row],[Overall Intersectorial Final PiN]]-BA61</f>
        <v>106628.28956446411</v>
      </c>
      <c r="BC61" s="62">
        <f>Table136[[#This Row],[Overall Intersectorial Final PiN]]*0.07</f>
        <v>8157.9602695124886</v>
      </c>
    </row>
    <row r="62" spans="1:55" x14ac:dyDescent="0.2">
      <c r="A62" s="223" t="s">
        <v>47</v>
      </c>
      <c r="B62" s="223" t="s">
        <v>48</v>
      </c>
      <c r="C62" s="223" t="s">
        <v>518</v>
      </c>
      <c r="D62" s="209">
        <f>'Baseline_2020 Population Proj'!C61</f>
        <v>168069.27561323709</v>
      </c>
      <c r="E62" s="209">
        <v>152123</v>
      </c>
      <c r="F62" s="206">
        <v>925</v>
      </c>
      <c r="G62" s="52">
        <v>925</v>
      </c>
      <c r="H62" s="52">
        <v>14322.097241474607</v>
      </c>
      <c r="I62" s="52">
        <v>21375.287648000001</v>
      </c>
      <c r="J62" s="52">
        <v>21450.026416000001</v>
      </c>
      <c r="K62" s="52">
        <v>17527.343581270605</v>
      </c>
      <c r="L62" s="52">
        <v>10645</v>
      </c>
      <c r="M62" s="52"/>
      <c r="N62" s="52">
        <v>53243</v>
      </c>
      <c r="O62" s="52">
        <v>15212</v>
      </c>
      <c r="P62" s="52">
        <v>68455</v>
      </c>
      <c r="Q62" s="51">
        <v>21211.907678399999</v>
      </c>
      <c r="R62" s="52">
        <v>13575.620914176001</v>
      </c>
      <c r="S62" s="52"/>
      <c r="T62" s="74">
        <v>2756</v>
      </c>
      <c r="U62" s="74"/>
      <c r="V62" s="52"/>
      <c r="W62" s="52">
        <v>240.0989651617673</v>
      </c>
      <c r="X62" s="52">
        <v>1524.6284287772223</v>
      </c>
      <c r="Y62" s="52">
        <v>19005.273686344852</v>
      </c>
      <c r="Z62" s="52">
        <v>185</v>
      </c>
      <c r="AA62" s="52">
        <v>450</v>
      </c>
      <c r="AB62" s="66">
        <v>100841.56536794225</v>
      </c>
      <c r="AC62" s="52">
        <v>65547.017489162463</v>
      </c>
      <c r="AD62" s="52">
        <v>0</v>
      </c>
      <c r="AE62" s="52">
        <v>0</v>
      </c>
      <c r="AF62" s="52">
        <v>0</v>
      </c>
      <c r="AG62" s="84"/>
      <c r="AH62"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100841.56536794225</v>
      </c>
      <c r="AJ62" s="59">
        <f>Table1345[[#This Row],[FSC PiN]]</f>
        <v>68455</v>
      </c>
      <c r="AK62" s="59">
        <f>Table1345[[#This Row],[Education PiN]]</f>
        <v>0</v>
      </c>
      <c r="AL62" s="59">
        <f>Table1345[[#This Row],[Nutrition PiN]]</f>
        <v>19005.273686344852</v>
      </c>
      <c r="AM62" s="59">
        <f>Table1345[[#This Row],[WASH_PiN]]</f>
        <v>100841.56536794225</v>
      </c>
      <c r="AN62" s="59">
        <f>Table1345[[#This Row],[Health PiN]]</f>
        <v>0</v>
      </c>
      <c r="AO62" s="59">
        <f>Table1345[[#This Row],[Protection/GBV PiN]]</f>
        <v>17943.143092179438</v>
      </c>
      <c r="AP62" s="59">
        <f>Table1345[[#This Row],[CP_PiN]]</f>
        <v>21450.026416000001</v>
      </c>
      <c r="AQ62" s="59">
        <f>Table1345[[#This Row],[Shelter/NFIs PiN]]</f>
        <v>450</v>
      </c>
      <c r="AR62" s="59">
        <f>Table1345[[#This Row],[CCCM_PiN]]</f>
        <v>925</v>
      </c>
      <c r="AT62" s="79">
        <f>Table136[[#This Row],[Overall Intersectorial Final PiN]]-(Table8[[#This Row],[IDPs]]+Table8[[#This Row],[Returnee Migrants]]+Table8[[#This Row],[Refugees]])</f>
        <v>99454.565367942254</v>
      </c>
      <c r="AU62" s="66">
        <f>'Baseline_2020 Population Proj'!L61</f>
        <v>0</v>
      </c>
      <c r="AV62" s="66">
        <f>'Baseline_2020 Population Proj'!O61</f>
        <v>1387</v>
      </c>
      <c r="AW62" s="78">
        <f>'Baseline_2020 Population Proj'!R61</f>
        <v>0</v>
      </c>
      <c r="AY62" s="59">
        <v>97332</v>
      </c>
      <c r="BA62" s="66">
        <f>MAX(Table136[[#This Row],[IPC 4]],Table136[[#This Row],[SAM]],Table136[[#This Row],[Gap]])</f>
        <v>15212</v>
      </c>
      <c r="BB62" s="79">
        <f>Table136[[#This Row],[Overall Intersectorial Final PiN]]-BA62</f>
        <v>85629.565367942254</v>
      </c>
      <c r="BC62" s="62">
        <f>Table136[[#This Row],[Overall Intersectorial Final PiN]]*0.07</f>
        <v>7058.909575755958</v>
      </c>
    </row>
    <row r="63" spans="1:55" x14ac:dyDescent="0.2">
      <c r="A63" s="223" t="s">
        <v>47</v>
      </c>
      <c r="B63" s="223" t="s">
        <v>49</v>
      </c>
      <c r="C63" s="223" t="s">
        <v>518</v>
      </c>
      <c r="D63" s="209">
        <f>'Baseline_2020 Population Proj'!C62</f>
        <v>74775.191835432313</v>
      </c>
      <c r="E63" s="209">
        <v>67681</v>
      </c>
      <c r="F63" s="206"/>
      <c r="G63" s="52"/>
      <c r="H63" s="52">
        <v>8519.2472263268573</v>
      </c>
      <c r="I63" s="52"/>
      <c r="J63" s="52"/>
      <c r="K63" s="52">
        <v>11027.632119876167</v>
      </c>
      <c r="L63" s="52">
        <v>1521</v>
      </c>
      <c r="M63" s="52"/>
      <c r="N63" s="52">
        <v>20304</v>
      </c>
      <c r="O63" s="52">
        <v>6768</v>
      </c>
      <c r="P63" s="52">
        <v>27072</v>
      </c>
      <c r="Q63" s="51">
        <v>9049.4956091999993</v>
      </c>
      <c r="R63" s="52">
        <v>5791.6771898879997</v>
      </c>
      <c r="S63" s="52">
        <v>9195.8530919214663</v>
      </c>
      <c r="T63" s="74">
        <v>386.09999999999997</v>
      </c>
      <c r="U63" s="74"/>
      <c r="V63" s="52">
        <v>5383.8138121511265</v>
      </c>
      <c r="W63" s="52">
        <v>115.63173995169944</v>
      </c>
      <c r="X63" s="52">
        <v>804.10311962411788</v>
      </c>
      <c r="Y63" s="52">
        <v>8599.1470610747165</v>
      </c>
      <c r="Z63" s="52"/>
      <c r="AA63" s="52"/>
      <c r="AB63" s="66">
        <v>31405.580570881571</v>
      </c>
      <c r="AC63" s="52">
        <v>0</v>
      </c>
      <c r="AD63" s="52">
        <v>0</v>
      </c>
      <c r="AE63" s="52">
        <v>0</v>
      </c>
      <c r="AF63" s="52">
        <v>0</v>
      </c>
      <c r="AG63" s="84"/>
      <c r="AH63"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31405.580570881571</v>
      </c>
      <c r="AJ63" s="59">
        <f>Table1345[[#This Row],[FSC PiN]]</f>
        <v>27072</v>
      </c>
      <c r="AK63" s="59">
        <f>Table1345[[#This Row],[Education PiN]]</f>
        <v>0</v>
      </c>
      <c r="AL63" s="59">
        <f>Table1345[[#This Row],[Nutrition PiN]]</f>
        <v>8599.1470610747165</v>
      </c>
      <c r="AM63" s="59">
        <f>Table1345[[#This Row],[WASH_PiN]]</f>
        <v>31405.580570881571</v>
      </c>
      <c r="AN63" s="59">
        <f>Table1345[[#This Row],[Health PiN]]</f>
        <v>9195.8530919214663</v>
      </c>
      <c r="AO63" s="59">
        <f>Table1345[[#This Row],[Protection/GBV PiN]]</f>
        <v>7983.0293904274868</v>
      </c>
      <c r="AP63" s="59">
        <f>Table1345[[#This Row],[CP_PiN]]</f>
        <v>8519.2472263268573</v>
      </c>
      <c r="AQ63" s="59">
        <f>Table1345[[#This Row],[Shelter/NFIs PiN]]</f>
        <v>0</v>
      </c>
      <c r="AR63" s="59">
        <f>Table1345[[#This Row],[CCCM_PiN]]</f>
        <v>0</v>
      </c>
      <c r="AT63" s="79">
        <f>Table136[[#This Row],[Overall Intersectorial Final PiN]]-(Table8[[#This Row],[IDPs]]+Table8[[#This Row],[Returnee Migrants]]+Table8[[#This Row],[Refugees]])</f>
        <v>31405.580570881571</v>
      </c>
      <c r="AU63" s="66">
        <f>'Baseline_2020 Population Proj'!L62</f>
        <v>0</v>
      </c>
      <c r="AV63" s="66">
        <f>'Baseline_2020 Population Proj'!O62</f>
        <v>0</v>
      </c>
      <c r="AW63" s="78">
        <f>'Baseline_2020 Population Proj'!R62</f>
        <v>0</v>
      </c>
      <c r="AY63" s="59">
        <v>11487</v>
      </c>
      <c r="BA63" s="66">
        <f>MAX(Table136[[#This Row],[IPC 4]],Table136[[#This Row],[SAM]],Table136[[#This Row],[Gap]])</f>
        <v>6768</v>
      </c>
      <c r="BB63" s="79">
        <f>Table136[[#This Row],[Overall Intersectorial Final PiN]]-BA63</f>
        <v>24637.580570881571</v>
      </c>
      <c r="BC63" s="62">
        <f>Table136[[#This Row],[Overall Intersectorial Final PiN]]*0.07</f>
        <v>2198.3906399617103</v>
      </c>
    </row>
    <row r="64" spans="1:55" x14ac:dyDescent="0.2">
      <c r="A64" s="223" t="s">
        <v>47</v>
      </c>
      <c r="B64" s="223" t="s">
        <v>98</v>
      </c>
      <c r="C64" s="223" t="s">
        <v>518</v>
      </c>
      <c r="D64" s="209">
        <f>'Baseline_2020 Population Proj'!C63</f>
        <v>75726.148899157168</v>
      </c>
      <c r="E64" s="209">
        <v>68541</v>
      </c>
      <c r="F64" s="206">
        <v>3000</v>
      </c>
      <c r="G64" s="52">
        <v>3000</v>
      </c>
      <c r="H64" s="52"/>
      <c r="I64" s="52"/>
      <c r="J64" s="52">
        <v>8896.8504560000001</v>
      </c>
      <c r="K64" s="52">
        <v>10652.042344425505</v>
      </c>
      <c r="L64" s="52">
        <v>1319</v>
      </c>
      <c r="M64" s="52"/>
      <c r="N64" s="52">
        <v>23989</v>
      </c>
      <c r="O64" s="52">
        <v>10281</v>
      </c>
      <c r="P64" s="52">
        <v>34270</v>
      </c>
      <c r="Q64" s="51">
        <v>9327.4785611999996</v>
      </c>
      <c r="R64" s="52">
        <v>5969.5862791680001</v>
      </c>
      <c r="S64" s="52">
        <v>11852.65682569608</v>
      </c>
      <c r="T64" s="74">
        <v>147</v>
      </c>
      <c r="U64" s="74"/>
      <c r="V64" s="52"/>
      <c r="W64" s="52">
        <v>244.27789967470054</v>
      </c>
      <c r="X64" s="52">
        <v>5.6183916925180881</v>
      </c>
      <c r="Y64" s="52">
        <v>8708.5071234030747</v>
      </c>
      <c r="Z64" s="52"/>
      <c r="AA64" s="52"/>
      <c r="AB64" s="66">
        <v>34834.028493612299</v>
      </c>
      <c r="AC64" s="52">
        <v>0</v>
      </c>
      <c r="AD64" s="52">
        <v>0</v>
      </c>
      <c r="AE64" s="52">
        <v>0</v>
      </c>
      <c r="AF64" s="52">
        <v>0</v>
      </c>
      <c r="AG64" s="84"/>
      <c r="AH64"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34834.028493612299</v>
      </c>
      <c r="AJ64" s="59">
        <f>Table1345[[#This Row],[FSC PiN]]</f>
        <v>34270</v>
      </c>
      <c r="AK64" s="59">
        <f>Table1345[[#This Row],[Education PiN]]</f>
        <v>0</v>
      </c>
      <c r="AL64" s="59">
        <f>Table1345[[#This Row],[Nutrition PiN]]</f>
        <v>8708.5071234030747</v>
      </c>
      <c r="AM64" s="59">
        <f>Table1345[[#This Row],[WASH_PiN]]</f>
        <v>34834.028493612299</v>
      </c>
      <c r="AN64" s="59">
        <f>Table1345[[#This Row],[Health PiN]]</f>
        <v>11852.65682569608</v>
      </c>
      <c r="AO64" s="59">
        <f>Table1345[[#This Row],[Protection/GBV PiN]]</f>
        <v>8084.553946933579</v>
      </c>
      <c r="AP64" s="59">
        <f>Table1345[[#This Row],[CP_PiN]]</f>
        <v>8896.8504560000001</v>
      </c>
      <c r="AQ64" s="59">
        <f>Table1345[[#This Row],[Shelter/NFIs PiN]]</f>
        <v>0</v>
      </c>
      <c r="AR64" s="59">
        <f>Table1345[[#This Row],[CCCM_PiN]]</f>
        <v>3000</v>
      </c>
      <c r="AT64" s="79">
        <f>Table136[[#This Row],[Overall Intersectorial Final PiN]]-(Table8[[#This Row],[IDPs]]+Table8[[#This Row],[Returnee Migrants]]+Table8[[#This Row],[Refugees]])</f>
        <v>34834.028493612299</v>
      </c>
      <c r="AU64" s="66">
        <f>'Baseline_2020 Population Proj'!L63</f>
        <v>0</v>
      </c>
      <c r="AV64" s="66">
        <f>'Baseline_2020 Population Proj'!O63</f>
        <v>0</v>
      </c>
      <c r="AW64" s="78">
        <f>'Baseline_2020 Population Proj'!R63</f>
        <v>0</v>
      </c>
      <c r="AY64" s="59">
        <v>15024</v>
      </c>
      <c r="BA64" s="66">
        <f>MAX(Table136[[#This Row],[IPC 4]],Table136[[#This Row],[SAM]],Table136[[#This Row],[Gap]])</f>
        <v>10281</v>
      </c>
      <c r="BB64" s="79">
        <f>Table136[[#This Row],[Overall Intersectorial Final PiN]]-BA64</f>
        <v>24553.028493612299</v>
      </c>
      <c r="BC64" s="62">
        <f>Table136[[#This Row],[Overall Intersectorial Final PiN]]*0.07</f>
        <v>2438.3819945528612</v>
      </c>
    </row>
    <row r="65" spans="1:55" x14ac:dyDescent="0.2">
      <c r="A65" s="223" t="s">
        <v>47</v>
      </c>
      <c r="B65" s="223" t="s">
        <v>54</v>
      </c>
      <c r="C65" s="223" t="s">
        <v>517</v>
      </c>
      <c r="D65" s="209">
        <f>'Baseline_2020 Population Proj'!C64</f>
        <v>45339.022801885672</v>
      </c>
      <c r="E65" s="209"/>
      <c r="F65" s="206"/>
      <c r="G65" s="52"/>
      <c r="H65" s="52"/>
      <c r="I65" s="52"/>
      <c r="J65" s="52"/>
      <c r="K65" s="52"/>
      <c r="L65" s="52"/>
      <c r="M65" s="52"/>
      <c r="N65" s="52"/>
      <c r="O65" s="52"/>
      <c r="P65" s="52">
        <v>18353.889605393997</v>
      </c>
      <c r="Q65" s="51">
        <v>5569.6463844</v>
      </c>
      <c r="R65" s="52">
        <v>4455.7171075200004</v>
      </c>
      <c r="S65" s="52">
        <v>5575.7930241759004</v>
      </c>
      <c r="T65" s="74">
        <v>146.69999999999999</v>
      </c>
      <c r="U65" s="74"/>
      <c r="V65" s="52"/>
      <c r="W65" s="52">
        <v>102.01280130424276</v>
      </c>
      <c r="X65" s="52">
        <v>136.01706840565703</v>
      </c>
      <c r="Y65" s="52">
        <v>5141.4451857338354</v>
      </c>
      <c r="Z65" s="52"/>
      <c r="AA65" s="52"/>
      <c r="AB65" s="66">
        <v>0</v>
      </c>
      <c r="AC65" s="52">
        <v>0</v>
      </c>
      <c r="AD65" s="52">
        <v>0</v>
      </c>
      <c r="AE65" s="52">
        <v>0</v>
      </c>
      <c r="AF65" s="52">
        <v>0</v>
      </c>
      <c r="AG65" s="84"/>
      <c r="AH65"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18353.889605393997</v>
      </c>
      <c r="AJ65" s="59">
        <f>Table1345[[#This Row],[FSC PiN]]</f>
        <v>18353.889605393997</v>
      </c>
      <c r="AK65" s="59">
        <f>Table1345[[#This Row],[Education PiN]]</f>
        <v>0</v>
      </c>
      <c r="AL65" s="59">
        <f>Table1345[[#This Row],[Nutrition PiN]]</f>
        <v>5141.4451857338354</v>
      </c>
      <c r="AM65" s="59">
        <f>Table1345[[#This Row],[WASH_PiN]]</f>
        <v>0</v>
      </c>
      <c r="AN65" s="59">
        <f>Table1345[[#This Row],[Health PiN]]</f>
        <v>5575.7930241759004</v>
      </c>
      <c r="AO65" s="59">
        <f>Table1345[[#This Row],[Protection/GBV PiN]]</f>
        <v>4840.4122099384349</v>
      </c>
      <c r="AP65" s="59">
        <f>Table1345[[#This Row],[CP_PiN]]</f>
        <v>0</v>
      </c>
      <c r="AQ65" s="59">
        <f>Table1345[[#This Row],[Shelter/NFIs PiN]]</f>
        <v>0</v>
      </c>
      <c r="AR65" s="59">
        <f>Table1345[[#This Row],[CCCM_PiN]]</f>
        <v>0</v>
      </c>
      <c r="AT65" s="79">
        <f>Table136[[#This Row],[Overall Intersectorial Final PiN]]-(Table8[[#This Row],[IDPs]]+Table8[[#This Row],[Returnee Migrants]]+Table8[[#This Row],[Refugees]])</f>
        <v>18353.889605393997</v>
      </c>
      <c r="AU65" s="66">
        <f>'Baseline_2020 Population Proj'!L64</f>
        <v>0</v>
      </c>
      <c r="AV65" s="66">
        <f>'Baseline_2020 Population Proj'!O64</f>
        <v>0</v>
      </c>
      <c r="AW65" s="78">
        <f>'Baseline_2020 Population Proj'!R64</f>
        <v>0</v>
      </c>
      <c r="AY65" s="59">
        <v>0</v>
      </c>
      <c r="BA65" s="66">
        <f>MAX(Table136[[#This Row],[IPC 4]],Table136[[#This Row],[SAM]],Table136[[#This Row],[Gap]])</f>
        <v>146.69999999999999</v>
      </c>
      <c r="BB65" s="79">
        <f>Table136[[#This Row],[Overall Intersectorial Final PiN]]-BA65</f>
        <v>18207.189605393996</v>
      </c>
      <c r="BC65" s="62">
        <f>Table136[[#This Row],[Overall Intersectorial Final PiN]]*0.07</f>
        <v>1284.7722723775798</v>
      </c>
    </row>
    <row r="66" spans="1:55" x14ac:dyDescent="0.2">
      <c r="A66" s="223" t="s">
        <v>47</v>
      </c>
      <c r="B66" s="223" t="s">
        <v>50</v>
      </c>
      <c r="C66" s="223" t="s">
        <v>518</v>
      </c>
      <c r="D66" s="209">
        <f>'Baseline_2020 Population Proj'!C65</f>
        <v>121027.7134177195</v>
      </c>
      <c r="E66" s="209">
        <v>109545</v>
      </c>
      <c r="F66" s="206"/>
      <c r="G66" s="52"/>
      <c r="H66" s="52">
        <v>14582.025485638136</v>
      </c>
      <c r="I66" s="52"/>
      <c r="J66" s="52"/>
      <c r="K66" s="52">
        <v>15590.425114381273</v>
      </c>
      <c r="L66" s="52">
        <v>2601</v>
      </c>
      <c r="M66" s="52"/>
      <c r="N66" s="52">
        <v>32864</v>
      </c>
      <c r="O66" s="52">
        <v>16432</v>
      </c>
      <c r="P66" s="52">
        <v>49296</v>
      </c>
      <c r="Q66" s="51">
        <v>15051.664012799998</v>
      </c>
      <c r="R66" s="52">
        <v>9633.0649681919986</v>
      </c>
      <c r="S66" s="52"/>
      <c r="T66" s="74">
        <v>2274</v>
      </c>
      <c r="U66" s="74"/>
      <c r="V66" s="52"/>
      <c r="W66" s="52">
        <v>307.69757648572755</v>
      </c>
      <c r="X66" s="52">
        <v>146.15634883072056</v>
      </c>
      <c r="Y66" s="52">
        <v>13424.393972293446</v>
      </c>
      <c r="Z66" s="52"/>
      <c r="AA66" s="52"/>
      <c r="AB66" s="66">
        <v>67775.519513922918</v>
      </c>
      <c r="AC66" s="52">
        <v>0</v>
      </c>
      <c r="AD66" s="52">
        <v>0</v>
      </c>
      <c r="AE66" s="52">
        <v>0</v>
      </c>
      <c r="AF66" s="52">
        <v>0</v>
      </c>
      <c r="AG66" s="84"/>
      <c r="AH66"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67775.519513922918</v>
      </c>
      <c r="AJ66" s="59">
        <f>Table1345[[#This Row],[FSC PiN]]</f>
        <v>49296</v>
      </c>
      <c r="AK66" s="59">
        <f>Table1345[[#This Row],[Education PiN]]</f>
        <v>0</v>
      </c>
      <c r="AL66" s="59">
        <f>Table1345[[#This Row],[Nutrition PiN]]</f>
        <v>26848.787944586893</v>
      </c>
      <c r="AM66" s="59">
        <f>Table1345[[#This Row],[WASH_PiN]]</f>
        <v>67775.519513922918</v>
      </c>
      <c r="AN66" s="59">
        <f>Table1345[[#This Row],[Health PiN]]</f>
        <v>0</v>
      </c>
      <c r="AO66" s="59">
        <f>Table1345[[#This Row],[Protection/GBV PiN]]</f>
        <v>12920.9670955611</v>
      </c>
      <c r="AP66" s="59">
        <f>Table1345[[#This Row],[CP_PiN]]</f>
        <v>14582.025485638136</v>
      </c>
      <c r="AQ66" s="59">
        <f>Table1345[[#This Row],[Shelter/NFIs PiN]]</f>
        <v>0</v>
      </c>
      <c r="AR66" s="59">
        <f>Table1345[[#This Row],[CCCM_PiN]]</f>
        <v>0</v>
      </c>
      <c r="AT66" s="79">
        <f>Table136[[#This Row],[Overall Intersectorial Final PiN]]-(Table8[[#This Row],[IDPs]]+Table8[[#This Row],[Returnee Migrants]]+Table8[[#This Row],[Refugees]])</f>
        <v>67775.519513922918</v>
      </c>
      <c r="AU66" s="66">
        <f>'Baseline_2020 Population Proj'!L65</f>
        <v>0</v>
      </c>
      <c r="AV66" s="66">
        <f>'Baseline_2020 Population Proj'!O65</f>
        <v>0</v>
      </c>
      <c r="AW66" s="78">
        <f>'Baseline_2020 Population Proj'!R65</f>
        <v>0</v>
      </c>
      <c r="AY66" s="59">
        <v>42403</v>
      </c>
      <c r="BA66" s="66">
        <f>MAX(Table136[[#This Row],[IPC 4]],Table136[[#This Row],[SAM]],Table136[[#This Row],[Gap]])</f>
        <v>16432</v>
      </c>
      <c r="BB66" s="79">
        <f>Table136[[#This Row],[Overall Intersectorial Final PiN]]-BA66</f>
        <v>51343.519513922918</v>
      </c>
      <c r="BC66" s="62">
        <f>Table136[[#This Row],[Overall Intersectorial Final PiN]]*0.07</f>
        <v>4744.2863659746045</v>
      </c>
    </row>
    <row r="67" spans="1:55" x14ac:dyDescent="0.2">
      <c r="A67" s="223" t="s">
        <v>47</v>
      </c>
      <c r="B67" s="223" t="s">
        <v>51</v>
      </c>
      <c r="C67" s="223" t="s">
        <v>518</v>
      </c>
      <c r="D67" s="209">
        <f>'Baseline_2020 Population Proj'!C66</f>
        <v>131871.28227396708</v>
      </c>
      <c r="E67" s="209">
        <v>119359</v>
      </c>
      <c r="F67" s="206"/>
      <c r="G67" s="52"/>
      <c r="H67" s="52">
        <v>16386.03195575258</v>
      </c>
      <c r="I67" s="52">
        <v>15839.169987333331</v>
      </c>
      <c r="J67" s="52">
        <v>15897.811860666665</v>
      </c>
      <c r="K67" s="52">
        <v>16869.014143524495</v>
      </c>
      <c r="L67" s="52">
        <v>8467</v>
      </c>
      <c r="M67" s="52">
        <v>17908</v>
      </c>
      <c r="N67" s="52">
        <v>35808</v>
      </c>
      <c r="O67" s="52">
        <v>11936</v>
      </c>
      <c r="P67" s="52">
        <v>47744</v>
      </c>
      <c r="Q67" s="51">
        <v>16400.752330799998</v>
      </c>
      <c r="R67" s="52">
        <v>10496.481491711998</v>
      </c>
      <c r="S67" s="52"/>
      <c r="T67" s="74">
        <v>2208</v>
      </c>
      <c r="U67" s="74"/>
      <c r="V67" s="52"/>
      <c r="W67" s="52">
        <v>350.10074939991262</v>
      </c>
      <c r="X67" s="52">
        <v>520.2497136082701</v>
      </c>
      <c r="Y67" s="52">
        <v>14912.004599540198</v>
      </c>
      <c r="Z67" s="52"/>
      <c r="AA67" s="52"/>
      <c r="AB67" s="66">
        <v>77804.056541640573</v>
      </c>
      <c r="AC67" s="52">
        <v>0</v>
      </c>
      <c r="AD67" s="52">
        <v>0</v>
      </c>
      <c r="AE67" s="52">
        <v>0</v>
      </c>
      <c r="AF67" s="52">
        <v>0</v>
      </c>
      <c r="AG67" s="84"/>
      <c r="AH67"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77804.056541640573</v>
      </c>
      <c r="AJ67" s="59">
        <f>Table1345[[#This Row],[FSC PiN]]</f>
        <v>47744</v>
      </c>
      <c r="AK67" s="59">
        <f>Table1345[[#This Row],[Education PiN]]</f>
        <v>17908</v>
      </c>
      <c r="AL67" s="59">
        <f>Table1345[[#This Row],[Nutrition PiN]]</f>
        <v>14912.004599540198</v>
      </c>
      <c r="AM67" s="59">
        <f>Table1345[[#This Row],[WASH_PiN]]</f>
        <v>77804.056541640573</v>
      </c>
      <c r="AN67" s="59">
        <f>Table1345[[#This Row],[Health PiN]]</f>
        <v>0</v>
      </c>
      <c r="AO67" s="59">
        <f>Table1345[[#This Row],[Protection/GBV PiN]]</f>
        <v>14078.630844081637</v>
      </c>
      <c r="AP67" s="59">
        <f>Table1345[[#This Row],[CP_PiN]]</f>
        <v>15897.811860666665</v>
      </c>
      <c r="AQ67" s="59">
        <f>Table1345[[#This Row],[Shelter/NFIs PiN]]</f>
        <v>0</v>
      </c>
      <c r="AR67" s="59">
        <f>Table1345[[#This Row],[CCCM_PiN]]</f>
        <v>0</v>
      </c>
      <c r="AT67" s="79">
        <f>Table136[[#This Row],[Overall Intersectorial Final PiN]]-(Table8[[#This Row],[IDPs]]+Table8[[#This Row],[Returnee Migrants]]+Table8[[#This Row],[Refugees]])</f>
        <v>77804.056541640573</v>
      </c>
      <c r="AU67" s="66">
        <f>'Baseline_2020 Population Proj'!L66</f>
        <v>0</v>
      </c>
      <c r="AV67" s="66">
        <f>'Baseline_2020 Population Proj'!O66</f>
        <v>0</v>
      </c>
      <c r="AW67" s="78">
        <f>'Baseline_2020 Population Proj'!R66</f>
        <v>0</v>
      </c>
      <c r="AY67" s="59">
        <v>57823</v>
      </c>
      <c r="BA67" s="66">
        <f>MAX(Table136[[#This Row],[IPC 4]],Table136[[#This Row],[SAM]],Table136[[#This Row],[Gap]])</f>
        <v>11936</v>
      </c>
      <c r="BB67" s="79">
        <f>Table136[[#This Row],[Overall Intersectorial Final PiN]]-BA67</f>
        <v>65868.056541640573</v>
      </c>
      <c r="BC67" s="62">
        <f>Table136[[#This Row],[Overall Intersectorial Final PiN]]*0.07</f>
        <v>5446.2839579148404</v>
      </c>
    </row>
    <row r="68" spans="1:55" x14ac:dyDescent="0.2">
      <c r="A68" s="223" t="s">
        <v>47</v>
      </c>
      <c r="B68" s="223" t="s">
        <v>52</v>
      </c>
      <c r="C68" s="223" t="s">
        <v>518</v>
      </c>
      <c r="D68" s="209">
        <f>'Baseline_2020 Population Proj'!C67</f>
        <v>139101.93928709227</v>
      </c>
      <c r="E68" s="209">
        <v>125904</v>
      </c>
      <c r="F68" s="206"/>
      <c r="G68" s="52"/>
      <c r="H68" s="52">
        <v>18255.52737249944</v>
      </c>
      <c r="I68" s="52">
        <v>17412.823194000001</v>
      </c>
      <c r="J68" s="52">
        <v>17474.680469999999</v>
      </c>
      <c r="K68" s="52">
        <v>18611.98113734712</v>
      </c>
      <c r="L68" s="52">
        <v>2444</v>
      </c>
      <c r="M68" s="52"/>
      <c r="N68" s="52">
        <v>37771</v>
      </c>
      <c r="O68" s="52">
        <v>12590</v>
      </c>
      <c r="P68" s="52">
        <v>50361</v>
      </c>
      <c r="Q68" s="51">
        <v>17535.056739599997</v>
      </c>
      <c r="R68" s="52">
        <v>11222.436313343998</v>
      </c>
      <c r="S68" s="52">
        <v>17106.756493526609</v>
      </c>
      <c r="T68" s="74">
        <v>824.84999999999991</v>
      </c>
      <c r="U68" s="74"/>
      <c r="V68" s="52"/>
      <c r="W68" s="52">
        <v>347.75484821773068</v>
      </c>
      <c r="X68" s="52">
        <v>173.8774241088654</v>
      </c>
      <c r="Y68" s="52">
        <v>15996.723018015611</v>
      </c>
      <c r="Z68" s="52"/>
      <c r="AA68" s="52"/>
      <c r="AB68" s="66">
        <v>83461.163572255362</v>
      </c>
      <c r="AC68" s="52">
        <v>0</v>
      </c>
      <c r="AD68" s="52">
        <v>0</v>
      </c>
      <c r="AE68" s="52">
        <v>0</v>
      </c>
      <c r="AF68" s="52">
        <v>0</v>
      </c>
      <c r="AG68" s="84"/>
      <c r="AH68"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83461.163572255362</v>
      </c>
      <c r="AJ68" s="59">
        <f>Table1345[[#This Row],[FSC PiN]]</f>
        <v>50361</v>
      </c>
      <c r="AK68" s="59">
        <f>Table1345[[#This Row],[Education PiN]]</f>
        <v>0</v>
      </c>
      <c r="AL68" s="59">
        <f>Table1345[[#This Row],[Nutrition PiN]]</f>
        <v>31993.446036031222</v>
      </c>
      <c r="AM68" s="59">
        <f>Table1345[[#This Row],[WASH_PiN]]</f>
        <v>83461.163572255362</v>
      </c>
      <c r="AN68" s="59">
        <f>Table1345[[#This Row],[Health PiN]]</f>
        <v>17106.756493526609</v>
      </c>
      <c r="AO68" s="59">
        <f>Table1345[[#This Row],[Protection/GBV PiN]]</f>
        <v>14850.578679065686</v>
      </c>
      <c r="AP68" s="59">
        <f>Table1345[[#This Row],[CP_PiN]]</f>
        <v>18255.52737249944</v>
      </c>
      <c r="AQ68" s="59">
        <f>Table1345[[#This Row],[Shelter/NFIs PiN]]</f>
        <v>0</v>
      </c>
      <c r="AR68" s="59">
        <f>Table1345[[#This Row],[CCCM_PiN]]</f>
        <v>0</v>
      </c>
      <c r="AT68" s="79">
        <f>Table136[[#This Row],[Overall Intersectorial Final PiN]]-(Table8[[#This Row],[IDPs]]+Table8[[#This Row],[Returnee Migrants]]+Table8[[#This Row],[Refugees]])</f>
        <v>83461.163572255362</v>
      </c>
      <c r="AU68" s="66">
        <f>'Baseline_2020 Population Proj'!L67</f>
        <v>0</v>
      </c>
      <c r="AV68" s="66">
        <f>'Baseline_2020 Population Proj'!O67</f>
        <v>0</v>
      </c>
      <c r="AW68" s="78">
        <f>'Baseline_2020 Population Proj'!R67</f>
        <v>0</v>
      </c>
      <c r="AY68" s="59">
        <v>77961</v>
      </c>
      <c r="BA68" s="66">
        <f>MAX(Table136[[#This Row],[IPC 4]],Table136[[#This Row],[SAM]],Table136[[#This Row],[Gap]])</f>
        <v>12590</v>
      </c>
      <c r="BB68" s="79">
        <f>Table136[[#This Row],[Overall Intersectorial Final PiN]]-BA68</f>
        <v>70871.163572255362</v>
      </c>
      <c r="BC68" s="62">
        <f>Table136[[#This Row],[Overall Intersectorial Final PiN]]*0.07</f>
        <v>5842.2814500578761</v>
      </c>
    </row>
    <row r="69" spans="1:55" x14ac:dyDescent="0.2">
      <c r="A69" s="223" t="s">
        <v>47</v>
      </c>
      <c r="B69" s="223" t="s">
        <v>53</v>
      </c>
      <c r="C69" s="223" t="s">
        <v>518</v>
      </c>
      <c r="D69" s="209">
        <f>'Baseline_2020 Population Proj'!C68</f>
        <v>108371.64698131017</v>
      </c>
      <c r="E69" s="209">
        <v>98089</v>
      </c>
      <c r="F69" s="206"/>
      <c r="G69" s="52"/>
      <c r="H69" s="52">
        <v>19140.63996290334</v>
      </c>
      <c r="I69" s="52">
        <v>12987.694052666668</v>
      </c>
      <c r="J69" s="52">
        <v>13035.885867333332</v>
      </c>
      <c r="K69" s="52">
        <v>24094.644906280257</v>
      </c>
      <c r="L69" s="52">
        <v>342</v>
      </c>
      <c r="M69" s="52"/>
      <c r="N69" s="52">
        <v>34331</v>
      </c>
      <c r="O69" s="52">
        <v>9809</v>
      </c>
      <c r="P69" s="52">
        <v>44140</v>
      </c>
      <c r="Q69" s="51">
        <v>12978.055214399999</v>
      </c>
      <c r="R69" s="52">
        <v>8305.955337215999</v>
      </c>
      <c r="S69" s="52">
        <v>16962.330185514667</v>
      </c>
      <c r="T69" s="74">
        <v>150</v>
      </c>
      <c r="U69" s="74">
        <v>32511.494094393049</v>
      </c>
      <c r="V69" s="52">
        <v>4768.3524671776477</v>
      </c>
      <c r="W69" s="52">
        <v>266.48765651141844</v>
      </c>
      <c r="X69" s="52">
        <v>0</v>
      </c>
      <c r="Y69" s="52">
        <v>0</v>
      </c>
      <c r="Z69" s="52"/>
      <c r="AA69" s="52"/>
      <c r="AB69" s="66">
        <v>55269.539960468188</v>
      </c>
      <c r="AC69" s="52">
        <v>0</v>
      </c>
      <c r="AD69" s="52">
        <v>0</v>
      </c>
      <c r="AE69" s="52">
        <v>0</v>
      </c>
      <c r="AF69" s="52">
        <v>0</v>
      </c>
      <c r="AG69" s="84"/>
      <c r="AH69"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55269.539960468188</v>
      </c>
      <c r="AJ69" s="59">
        <f>Table1345[[#This Row],[FSC PiN]]</f>
        <v>44140</v>
      </c>
      <c r="AK69" s="59">
        <f>Table1345[[#This Row],[Education PiN]]</f>
        <v>24094.644906280257</v>
      </c>
      <c r="AL69" s="59">
        <f>Table1345[[#This Row],[Nutrition PiN]]</f>
        <v>0</v>
      </c>
      <c r="AM69" s="59">
        <f>Table1345[[#This Row],[WASH_PiN]]</f>
        <v>55269.539960468188</v>
      </c>
      <c r="AN69" s="59">
        <f>Table1345[[#This Row],[Health PiN]]</f>
        <v>32511.494094393049</v>
      </c>
      <c r="AO69" s="59">
        <f>Table1345[[#This Row],[Protection/GBV PiN]]</f>
        <v>11569.800380383465</v>
      </c>
      <c r="AP69" s="59">
        <f>Table1345[[#This Row],[CP_PiN]]</f>
        <v>19140.63996290334</v>
      </c>
      <c r="AQ69" s="59">
        <f>Table1345[[#This Row],[Shelter/NFIs PiN]]</f>
        <v>0</v>
      </c>
      <c r="AR69" s="59">
        <f>Table1345[[#This Row],[CCCM_PiN]]</f>
        <v>0</v>
      </c>
      <c r="AT69" s="79">
        <f>Table136[[#This Row],[Overall Intersectorial Final PiN]]-(Table8[[#This Row],[IDPs]]+Table8[[#This Row],[Returnee Migrants]]+Table8[[#This Row],[Refugees]])</f>
        <v>55269.539960468188</v>
      </c>
      <c r="AU69" s="66">
        <f>'Baseline_2020 Population Proj'!L68</f>
        <v>0</v>
      </c>
      <c r="AV69" s="66">
        <f>'Baseline_2020 Population Proj'!O68</f>
        <v>0</v>
      </c>
      <c r="AW69" s="78">
        <f>'Baseline_2020 Population Proj'!R68</f>
        <v>0</v>
      </c>
      <c r="AY69" s="59">
        <v>47367</v>
      </c>
      <c r="BA69" s="66">
        <f>MAX(Table136[[#This Row],[IPC 4]],Table136[[#This Row],[SAM]],Table136[[#This Row],[Gap]])</f>
        <v>9809</v>
      </c>
      <c r="BB69" s="79">
        <f>Table136[[#This Row],[Overall Intersectorial Final PiN]]-BA69</f>
        <v>45460.539960468188</v>
      </c>
      <c r="BC69" s="62">
        <f>Table136[[#This Row],[Overall Intersectorial Final PiN]]*0.07</f>
        <v>3868.8677972327737</v>
      </c>
    </row>
    <row r="70" spans="1:55" x14ac:dyDescent="0.2">
      <c r="A70" s="223" t="s">
        <v>47</v>
      </c>
      <c r="B70" s="223" t="s">
        <v>55</v>
      </c>
      <c r="C70" s="223" t="s">
        <v>517</v>
      </c>
      <c r="D70" s="209">
        <f>'Baseline_2020 Population Proj'!C69</f>
        <v>40778.778890198751</v>
      </c>
      <c r="E70" s="209"/>
      <c r="F70" s="206"/>
      <c r="G70" s="52"/>
      <c r="H70" s="52"/>
      <c r="I70" s="52"/>
      <c r="J70" s="52"/>
      <c r="K70" s="52"/>
      <c r="L70" s="52"/>
      <c r="M70" s="52"/>
      <c r="N70" s="52"/>
      <c r="O70" s="52"/>
      <c r="P70" s="52">
        <v>16507.837172934189</v>
      </c>
      <c r="Q70" s="51">
        <v>5054.5082615999991</v>
      </c>
      <c r="R70" s="52">
        <v>4043.6066092799992</v>
      </c>
      <c r="S70" s="52"/>
      <c r="T70" s="74">
        <v>816</v>
      </c>
      <c r="U70" s="74"/>
      <c r="V70" s="52"/>
      <c r="W70" s="52">
        <v>91.752252502947186</v>
      </c>
      <c r="X70" s="52">
        <v>122.33633667059627</v>
      </c>
      <c r="Y70" s="52">
        <v>4624.3135261485386</v>
      </c>
      <c r="Z70" s="52"/>
      <c r="AA70" s="52"/>
      <c r="AB70" s="66">
        <v>0</v>
      </c>
      <c r="AC70" s="52">
        <v>0</v>
      </c>
      <c r="AD70" s="52">
        <v>0</v>
      </c>
      <c r="AE70" s="52">
        <v>0</v>
      </c>
      <c r="AF70" s="52">
        <v>0</v>
      </c>
      <c r="AG70" s="84"/>
      <c r="AH70"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16507.837172934189</v>
      </c>
      <c r="AJ70" s="59">
        <f>Table1345[[#This Row],[FSC PiN]]</f>
        <v>16507.837172934189</v>
      </c>
      <c r="AK70" s="59">
        <f>Table1345[[#This Row],[Education PiN]]</f>
        <v>0</v>
      </c>
      <c r="AL70" s="59">
        <f>Table1345[[#This Row],[Nutrition PiN]]</f>
        <v>4624.3135261485386</v>
      </c>
      <c r="AM70" s="59">
        <f>Table1345[[#This Row],[WASH_PiN]]</f>
        <v>0</v>
      </c>
      <c r="AN70" s="59">
        <f>Table1345[[#This Row],[Health PiN]]</f>
        <v>0</v>
      </c>
      <c r="AO70" s="59">
        <f>Table1345[[#This Row],[Protection/GBV PiN]]</f>
        <v>4353.5587458291748</v>
      </c>
      <c r="AP70" s="59">
        <f>Table1345[[#This Row],[CP_PiN]]</f>
        <v>0</v>
      </c>
      <c r="AQ70" s="59">
        <f>Table1345[[#This Row],[Shelter/NFIs PiN]]</f>
        <v>0</v>
      </c>
      <c r="AR70" s="59">
        <f>Table1345[[#This Row],[CCCM_PiN]]</f>
        <v>0</v>
      </c>
      <c r="AT70" s="79">
        <f>Table136[[#This Row],[Overall Intersectorial Final PiN]]-(Table8[[#This Row],[IDPs]]+Table8[[#This Row],[Returnee Migrants]]+Table8[[#This Row],[Refugees]])</f>
        <v>16507.837172934189</v>
      </c>
      <c r="AU70" s="66">
        <f>'Baseline_2020 Population Proj'!L69</f>
        <v>0</v>
      </c>
      <c r="AV70" s="66">
        <f>'Baseline_2020 Population Proj'!O69</f>
        <v>0</v>
      </c>
      <c r="AW70" s="78">
        <f>'Baseline_2020 Population Proj'!R69</f>
        <v>0</v>
      </c>
      <c r="AY70" s="59">
        <v>0</v>
      </c>
      <c r="BA70" s="66">
        <f>MAX(Table136[[#This Row],[IPC 4]],Table136[[#This Row],[SAM]],Table136[[#This Row],[Gap]])</f>
        <v>816</v>
      </c>
      <c r="BB70" s="79">
        <f>Table136[[#This Row],[Overall Intersectorial Final PiN]]-BA70</f>
        <v>15691.837172934189</v>
      </c>
      <c r="BC70" s="62">
        <f>Table136[[#This Row],[Overall Intersectorial Final PiN]]*0.07</f>
        <v>1155.5486021053932</v>
      </c>
    </row>
    <row r="71" spans="1:55" x14ac:dyDescent="0.2">
      <c r="A71" s="223" t="s">
        <v>56</v>
      </c>
      <c r="B71" s="223" t="s">
        <v>97</v>
      </c>
      <c r="C71" s="223" t="s">
        <v>518</v>
      </c>
      <c r="D71" s="209">
        <f>'Baseline_2020 Population Proj'!C70</f>
        <v>96543.568115187605</v>
      </c>
      <c r="E71" s="209">
        <v>87586</v>
      </c>
      <c r="F71" s="206"/>
      <c r="G71" s="52"/>
      <c r="H71" s="52">
        <v>14860.148378030368</v>
      </c>
      <c r="I71" s="52"/>
      <c r="J71" s="52"/>
      <c r="K71" s="52">
        <v>17784.525617574094</v>
      </c>
      <c r="L71" s="52">
        <v>1041</v>
      </c>
      <c r="M71" s="52">
        <v>29302</v>
      </c>
      <c r="N71" s="52">
        <v>26276</v>
      </c>
      <c r="O71" s="52">
        <v>13138</v>
      </c>
      <c r="P71" s="52">
        <v>39414</v>
      </c>
      <c r="Q71" s="51">
        <v>12985.223505600003</v>
      </c>
      <c r="R71" s="52">
        <v>9219.5086889760005</v>
      </c>
      <c r="S71" s="52">
        <v>11872.928006805772</v>
      </c>
      <c r="T71" s="74">
        <v>388.34999999999997</v>
      </c>
      <c r="U71" s="74"/>
      <c r="V71" s="52"/>
      <c r="W71" s="52">
        <v>495.09522110352623</v>
      </c>
      <c r="X71" s="52">
        <v>0</v>
      </c>
      <c r="Y71" s="52">
        <v>11102.510333246575</v>
      </c>
      <c r="Z71" s="52"/>
      <c r="AA71" s="52"/>
      <c r="AB71" s="66">
        <v>56960.705187960681</v>
      </c>
      <c r="AC71" s="52">
        <v>0</v>
      </c>
      <c r="AD71" s="52">
        <v>0</v>
      </c>
      <c r="AE71" s="52">
        <v>0</v>
      </c>
      <c r="AF71" s="52">
        <v>0</v>
      </c>
      <c r="AG71" s="84"/>
      <c r="AH71"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56960.705187960681</v>
      </c>
      <c r="AJ71" s="59">
        <f>Table1345[[#This Row],[FSC PiN]]</f>
        <v>39414</v>
      </c>
      <c r="AK71" s="59">
        <f>Table1345[[#This Row],[Education PiN]]</f>
        <v>29302</v>
      </c>
      <c r="AL71" s="59">
        <f>Table1345[[#This Row],[Nutrition PiN]]</f>
        <v>11102.510333246575</v>
      </c>
      <c r="AM71" s="59">
        <f>Table1345[[#This Row],[WASH_PiN]]</f>
        <v>56960.705187960681</v>
      </c>
      <c r="AN71" s="59">
        <f>Table1345[[#This Row],[Health PiN]]</f>
        <v>0</v>
      </c>
      <c r="AO71" s="59">
        <f>Table1345[[#This Row],[Protection/GBV PiN]]</f>
        <v>11019.405629813022</v>
      </c>
      <c r="AP71" s="59">
        <f>Table1345[[#This Row],[CP_PiN]]</f>
        <v>14860.148378030368</v>
      </c>
      <c r="AQ71" s="59">
        <f>Table1345[[#This Row],[Shelter/NFIs PiN]]</f>
        <v>0</v>
      </c>
      <c r="AR71" s="59">
        <f>Table1345[[#This Row],[CCCM_PiN]]</f>
        <v>0</v>
      </c>
      <c r="AT71" s="79">
        <f>Table136[[#This Row],[Overall Intersectorial Final PiN]]-(Table8[[#This Row],[IDPs]]+Table8[[#This Row],[Returnee Migrants]]+Table8[[#This Row],[Refugees]])</f>
        <v>53878.705187960681</v>
      </c>
      <c r="AU71" s="66">
        <f>'Baseline_2020 Population Proj'!L70</f>
        <v>0</v>
      </c>
      <c r="AV71" s="66">
        <f>'Baseline_2020 Population Proj'!O70</f>
        <v>3082</v>
      </c>
      <c r="AW71" s="78">
        <f>'Baseline_2020 Population Proj'!R70</f>
        <v>0</v>
      </c>
      <c r="AY71" s="59">
        <v>54281</v>
      </c>
      <c r="BA71" s="66">
        <f>MAX(Table136[[#This Row],[IPC 4]],Table136[[#This Row],[SAM]],Table136[[#This Row],[Gap]])</f>
        <v>13138</v>
      </c>
      <c r="BB71" s="79">
        <f>Table136[[#This Row],[Overall Intersectorial Final PiN]]-BA71</f>
        <v>43822.705187960681</v>
      </c>
      <c r="BC71" s="62">
        <f>Table136[[#This Row],[Overall Intersectorial Final PiN]]*0.07</f>
        <v>3987.2493631572479</v>
      </c>
    </row>
    <row r="72" spans="1:55" x14ac:dyDescent="0.2">
      <c r="A72" s="223" t="s">
        <v>56</v>
      </c>
      <c r="B72" s="223" t="s">
        <v>64</v>
      </c>
      <c r="C72" s="223" t="s">
        <v>517</v>
      </c>
      <c r="D72" s="209">
        <f>'Baseline_2020 Population Proj'!C71</f>
        <v>50798.001194631324</v>
      </c>
      <c r="E72" s="209"/>
      <c r="F72" s="206"/>
      <c r="G72" s="52"/>
      <c r="H72" s="52"/>
      <c r="I72" s="52"/>
      <c r="J72" s="52"/>
      <c r="K72" s="52"/>
      <c r="L72" s="52"/>
      <c r="M72" s="52"/>
      <c r="N72" s="52"/>
      <c r="O72" s="52"/>
      <c r="P72" s="52">
        <v>22171.586889588179</v>
      </c>
      <c r="Q72" s="51">
        <v>6730.089336</v>
      </c>
      <c r="R72" s="52">
        <v>5384.0714688000007</v>
      </c>
      <c r="S72" s="52">
        <v>6247.1381869157613</v>
      </c>
      <c r="T72" s="74">
        <v>258.75</v>
      </c>
      <c r="U72" s="74"/>
      <c r="V72" s="52"/>
      <c r="W72" s="52">
        <v>76.197001791946988</v>
      </c>
      <c r="X72" s="52">
        <v>68.577301612752294</v>
      </c>
      <c r="Y72" s="52">
        <v>0</v>
      </c>
      <c r="Z72" s="52"/>
      <c r="AA72" s="52"/>
      <c r="AB72" s="66">
        <v>12699.500298657831</v>
      </c>
      <c r="AC72" s="52">
        <v>12699.500298657831</v>
      </c>
      <c r="AD72" s="52">
        <v>0</v>
      </c>
      <c r="AE72" s="52">
        <v>0</v>
      </c>
      <c r="AF72" s="52">
        <v>0</v>
      </c>
      <c r="AG72" s="84"/>
      <c r="AH72"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22171.586889588179</v>
      </c>
      <c r="AJ72" s="59">
        <f>Table1345[[#This Row],[FSC PiN]]</f>
        <v>22171.586889588179</v>
      </c>
      <c r="AK72" s="59">
        <f>Table1345[[#This Row],[Education PiN]]</f>
        <v>0</v>
      </c>
      <c r="AL72" s="59">
        <f>Table1345[[#This Row],[Nutrition PiN]]</f>
        <v>0</v>
      </c>
      <c r="AM72" s="59">
        <f>Table1345[[#This Row],[WASH_PiN]]</f>
        <v>12699.500298657831</v>
      </c>
      <c r="AN72" s="59">
        <f>Table1345[[#This Row],[Health PiN]]</f>
        <v>0</v>
      </c>
      <c r="AO72" s="59">
        <f>Table1345[[#This Row],[Protection/GBV PiN]]</f>
        <v>5798.043217954264</v>
      </c>
      <c r="AP72" s="59">
        <f>Table1345[[#This Row],[CP_PiN]]</f>
        <v>0</v>
      </c>
      <c r="AQ72" s="59">
        <f>Table1345[[#This Row],[Shelter/NFIs PiN]]</f>
        <v>0</v>
      </c>
      <c r="AR72" s="59">
        <f>Table1345[[#This Row],[CCCM_PiN]]</f>
        <v>0</v>
      </c>
      <c r="AT72" s="79">
        <f>Table136[[#This Row],[Overall Intersectorial Final PiN]]-(Table8[[#This Row],[IDPs]]+Table8[[#This Row],[Returnee Migrants]]+Table8[[#This Row],[Refugees]])</f>
        <v>22171.586889588179</v>
      </c>
      <c r="AU72" s="66">
        <f>'Baseline_2020 Population Proj'!L71</f>
        <v>0</v>
      </c>
      <c r="AV72" s="66">
        <f>'Baseline_2020 Population Proj'!O71</f>
        <v>0</v>
      </c>
      <c r="AW72" s="78">
        <f>'Baseline_2020 Population Proj'!R71</f>
        <v>0</v>
      </c>
      <c r="AY72" s="59">
        <v>0</v>
      </c>
      <c r="BA72" s="66">
        <f>MAX(Table136[[#This Row],[IPC 4]],Table136[[#This Row],[SAM]],Table136[[#This Row],[Gap]])</f>
        <v>258.75</v>
      </c>
      <c r="BB72" s="79">
        <f>Table136[[#This Row],[Overall Intersectorial Final PiN]]-BA72</f>
        <v>21912.836889588179</v>
      </c>
      <c r="BC72" s="62">
        <f>Table136[[#This Row],[Overall Intersectorial Final PiN]]*0.07</f>
        <v>1552.0110822711727</v>
      </c>
    </row>
    <row r="73" spans="1:55" x14ac:dyDescent="0.2">
      <c r="A73" s="223" t="s">
        <v>56</v>
      </c>
      <c r="B73" s="223" t="s">
        <v>57</v>
      </c>
      <c r="C73" s="223" t="s">
        <v>518</v>
      </c>
      <c r="D73" s="209">
        <f>'Baseline_2020 Population Proj'!C72</f>
        <v>109175.25657230006</v>
      </c>
      <c r="E73" s="209">
        <v>99045</v>
      </c>
      <c r="F73" s="206"/>
      <c r="G73" s="52"/>
      <c r="H73" s="52">
        <v>16881.45915778054</v>
      </c>
      <c r="I73" s="52"/>
      <c r="J73" s="52"/>
      <c r="K73" s="52">
        <v>17724.652700915973</v>
      </c>
      <c r="L73" s="52">
        <v>1811</v>
      </c>
      <c r="M73" s="52">
        <v>25130</v>
      </c>
      <c r="N73" s="52">
        <v>14857</v>
      </c>
      <c r="O73" s="52">
        <v>4952</v>
      </c>
      <c r="P73" s="52">
        <v>19809</v>
      </c>
      <c r="Q73" s="51">
        <v>14752.1223216</v>
      </c>
      <c r="R73" s="52">
        <v>10474.006848335999</v>
      </c>
      <c r="S73" s="52">
        <v>17088.111158696403</v>
      </c>
      <c r="T73" s="74">
        <v>205.20000000000005</v>
      </c>
      <c r="U73" s="74"/>
      <c r="V73" s="52">
        <v>7860.6184732056045</v>
      </c>
      <c r="W73" s="52">
        <v>157.46431236389432</v>
      </c>
      <c r="X73" s="52">
        <v>6.2985724945557706</v>
      </c>
      <c r="Y73" s="52">
        <v>0</v>
      </c>
      <c r="Z73" s="52"/>
      <c r="AA73" s="52"/>
      <c r="AB73" s="66">
        <v>36027.834668859025</v>
      </c>
      <c r="AC73" s="52">
        <v>30569.071840244018</v>
      </c>
      <c r="AD73" s="52">
        <v>0</v>
      </c>
      <c r="AE73" s="52">
        <v>0</v>
      </c>
      <c r="AF73" s="52">
        <v>0</v>
      </c>
      <c r="AG73" s="84"/>
      <c r="AH73"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36027.834668859025</v>
      </c>
      <c r="AJ73" s="59">
        <f>Table1345[[#This Row],[FSC PiN]]</f>
        <v>19809</v>
      </c>
      <c r="AK73" s="59">
        <f>Table1345[[#This Row],[Education PiN]]</f>
        <v>25130</v>
      </c>
      <c r="AL73" s="59">
        <f>Table1345[[#This Row],[Nutrition PiN]]</f>
        <v>0</v>
      </c>
      <c r="AM73" s="59">
        <f>Table1345[[#This Row],[WASH_PiN]]</f>
        <v>36027.834668859025</v>
      </c>
      <c r="AN73" s="59">
        <f>Table1345[[#This Row],[Health PiN]]</f>
        <v>17088.111158696403</v>
      </c>
      <c r="AO73" s="59">
        <f>Table1345[[#This Row],[Protection/GBV PiN]]</f>
        <v>12461.176444957071</v>
      </c>
      <c r="AP73" s="59">
        <f>Table1345[[#This Row],[CP_PiN]]</f>
        <v>16881.45915778054</v>
      </c>
      <c r="AQ73" s="59">
        <f>Table1345[[#This Row],[Shelter/NFIs PiN]]</f>
        <v>0</v>
      </c>
      <c r="AR73" s="59">
        <f>Table1345[[#This Row],[CCCM_PiN]]</f>
        <v>0</v>
      </c>
      <c r="AT73" s="79">
        <f>Table136[[#This Row],[Overall Intersectorial Final PiN]]-(Table8[[#This Row],[IDPs]]+Table8[[#This Row],[Returnee Migrants]]+Table8[[#This Row],[Refugees]])</f>
        <v>36027.834668859025</v>
      </c>
      <c r="AU73" s="66">
        <f>'Baseline_2020 Population Proj'!L72</f>
        <v>0</v>
      </c>
      <c r="AV73" s="66">
        <f>'Baseline_2020 Population Proj'!O72</f>
        <v>0</v>
      </c>
      <c r="AW73" s="78">
        <f>'Baseline_2020 Population Proj'!R72</f>
        <v>0</v>
      </c>
      <c r="AY73" s="59">
        <v>20170</v>
      </c>
      <c r="BA73" s="66">
        <f>MAX(Table136[[#This Row],[IPC 4]],Table136[[#This Row],[SAM]],Table136[[#This Row],[Gap]])</f>
        <v>4952</v>
      </c>
      <c r="BB73" s="79">
        <f>Table136[[#This Row],[Overall Intersectorial Final PiN]]-BA73</f>
        <v>31075.834668859025</v>
      </c>
      <c r="BC73" s="62">
        <f>Table136[[#This Row],[Overall Intersectorial Final PiN]]*0.07</f>
        <v>2521.9484268201318</v>
      </c>
    </row>
    <row r="74" spans="1:55" x14ac:dyDescent="0.2">
      <c r="A74" s="223" t="s">
        <v>56</v>
      </c>
      <c r="B74" s="223" t="s">
        <v>59</v>
      </c>
      <c r="C74" s="223" t="s">
        <v>518</v>
      </c>
      <c r="D74" s="209">
        <f>'Baseline_2020 Population Proj'!C73</f>
        <v>139575.45583007869</v>
      </c>
      <c r="E74" s="209">
        <v>126625</v>
      </c>
      <c r="F74" s="206"/>
      <c r="G74" s="52"/>
      <c r="H74" s="52">
        <v>16330.507640791706</v>
      </c>
      <c r="I74" s="52"/>
      <c r="J74" s="52"/>
      <c r="K74" s="52">
        <v>18312.713519760131</v>
      </c>
      <c r="L74" s="52">
        <v>4560</v>
      </c>
      <c r="M74" s="52">
        <v>42260</v>
      </c>
      <c r="N74" s="52">
        <v>44319</v>
      </c>
      <c r="O74" s="52">
        <v>12663</v>
      </c>
      <c r="P74" s="52">
        <v>56982</v>
      </c>
      <c r="Q74" s="51">
        <v>18531.235800000002</v>
      </c>
      <c r="R74" s="52">
        <v>13157.177417999999</v>
      </c>
      <c r="S74" s="52">
        <v>21846.350346523916</v>
      </c>
      <c r="T74" s="74">
        <v>233.10000000000002</v>
      </c>
      <c r="U74" s="74"/>
      <c r="V74" s="52"/>
      <c r="W74" s="52">
        <v>550.95574669767905</v>
      </c>
      <c r="X74" s="52">
        <v>181.81539641023414</v>
      </c>
      <c r="Y74" s="52">
        <v>16051.177420459049</v>
      </c>
      <c r="Z74" s="52"/>
      <c r="AA74" s="52"/>
      <c r="AB74" s="66">
        <v>34893.863957519672</v>
      </c>
      <c r="AC74" s="52">
        <v>39081.127632422038</v>
      </c>
      <c r="AD74" s="52">
        <v>0</v>
      </c>
      <c r="AE74" s="52">
        <v>0</v>
      </c>
      <c r="AF74" s="52">
        <v>0</v>
      </c>
      <c r="AG74" s="84"/>
      <c r="AH74"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56982</v>
      </c>
      <c r="AJ74" s="59">
        <f>Table1345[[#This Row],[FSC PiN]]</f>
        <v>56982</v>
      </c>
      <c r="AK74" s="59">
        <f>Table1345[[#This Row],[Education PiN]]</f>
        <v>42260</v>
      </c>
      <c r="AL74" s="59">
        <f>Table1345[[#This Row],[Nutrition PiN]]</f>
        <v>16051.177420459049</v>
      </c>
      <c r="AM74" s="59">
        <f>Table1345[[#This Row],[WASH_PiN]]</f>
        <v>39081.127632422038</v>
      </c>
      <c r="AN74" s="59">
        <f>Table1345[[#This Row],[Health PiN]]</f>
        <v>21846.350346523916</v>
      </c>
      <c r="AO74" s="59">
        <f>Table1345[[#This Row],[Protection/GBV PiN]]</f>
        <v>15931.030868080517</v>
      </c>
      <c r="AP74" s="59">
        <f>Table1345[[#This Row],[CP_PiN]]</f>
        <v>16330.507640791706</v>
      </c>
      <c r="AQ74" s="59">
        <f>Table1345[[#This Row],[Shelter/NFIs PiN]]</f>
        <v>0</v>
      </c>
      <c r="AR74" s="59">
        <f>Table1345[[#This Row],[CCCM_PiN]]</f>
        <v>0</v>
      </c>
      <c r="AT74" s="79">
        <f>Table136[[#This Row],[Overall Intersectorial Final PiN]]-(Table8[[#This Row],[IDPs]]+Table8[[#This Row],[Returnee Migrants]]+Table8[[#This Row],[Refugees]])</f>
        <v>56982</v>
      </c>
      <c r="AU74" s="66">
        <f>'Baseline_2020 Population Proj'!L73</f>
        <v>0</v>
      </c>
      <c r="AV74" s="66">
        <f>'Baseline_2020 Population Proj'!O73</f>
        <v>0</v>
      </c>
      <c r="AW74" s="78">
        <f>'Baseline_2020 Population Proj'!R73</f>
        <v>0</v>
      </c>
      <c r="AY74" s="59">
        <v>40870</v>
      </c>
      <c r="BA74" s="66">
        <f>MAX(Table136[[#This Row],[IPC 4]],Table136[[#This Row],[SAM]],Table136[[#This Row],[Gap]])</f>
        <v>12663</v>
      </c>
      <c r="BB74" s="79">
        <f>Table136[[#This Row],[Overall Intersectorial Final PiN]]-BA74</f>
        <v>44319</v>
      </c>
      <c r="BC74" s="62">
        <f>Table136[[#This Row],[Overall Intersectorial Final PiN]]*0.07</f>
        <v>3988.7400000000002</v>
      </c>
    </row>
    <row r="75" spans="1:55" x14ac:dyDescent="0.2">
      <c r="A75" s="223" t="s">
        <v>56</v>
      </c>
      <c r="B75" s="223" t="s">
        <v>63</v>
      </c>
      <c r="C75" s="223" t="s">
        <v>517</v>
      </c>
      <c r="D75" s="209">
        <f>'Baseline_2020 Population Proj'!C74</f>
        <v>24384.535447796658</v>
      </c>
      <c r="E75" s="209"/>
      <c r="F75" s="206"/>
      <c r="G75" s="52"/>
      <c r="H75" s="52"/>
      <c r="I75" s="52"/>
      <c r="J75" s="52"/>
      <c r="K75" s="52"/>
      <c r="L75" s="52"/>
      <c r="M75" s="52"/>
      <c r="N75" s="52"/>
      <c r="O75" s="52"/>
      <c r="P75" s="52">
        <v>10643.014168443413</v>
      </c>
      <c r="Q75" s="51">
        <v>3273.5742575999998</v>
      </c>
      <c r="R75" s="52">
        <v>2618.8594060800001</v>
      </c>
      <c r="S75" s="52"/>
      <c r="T75" s="74">
        <v>518</v>
      </c>
      <c r="U75" s="74"/>
      <c r="V75" s="52"/>
      <c r="W75" s="52">
        <v>58.522885074711979</v>
      </c>
      <c r="X75" s="52">
        <v>0</v>
      </c>
      <c r="Y75" s="52">
        <v>0</v>
      </c>
      <c r="Z75" s="52"/>
      <c r="AA75" s="52"/>
      <c r="AB75" s="66">
        <v>0</v>
      </c>
      <c r="AC75" s="52">
        <v>0</v>
      </c>
      <c r="AD75" s="52">
        <v>0</v>
      </c>
      <c r="AE75" s="52">
        <v>0</v>
      </c>
      <c r="AF75" s="52">
        <v>0</v>
      </c>
      <c r="AG75" s="84"/>
      <c r="AH75"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10643.014168443413</v>
      </c>
      <c r="AJ75" s="59">
        <f>Table1345[[#This Row],[FSC PiN]]</f>
        <v>10643.014168443413</v>
      </c>
      <c r="AK75" s="59">
        <f>Table1345[[#This Row],[Education PiN]]</f>
        <v>0</v>
      </c>
      <c r="AL75" s="59">
        <f>Table1345[[#This Row],[Nutrition PiN]]</f>
        <v>0</v>
      </c>
      <c r="AM75" s="59">
        <f>Table1345[[#This Row],[WASH_PiN]]</f>
        <v>0</v>
      </c>
      <c r="AN75" s="59">
        <f>Table1345[[#This Row],[Health PiN]]</f>
        <v>0</v>
      </c>
      <c r="AO75" s="59">
        <f>Table1345[[#This Row],[Protection/GBV PiN]]</f>
        <v>2783.2313683831521</v>
      </c>
      <c r="AP75" s="59">
        <f>Table1345[[#This Row],[CP_PiN]]</f>
        <v>0</v>
      </c>
      <c r="AQ75" s="59">
        <f>Table1345[[#This Row],[Shelter/NFIs PiN]]</f>
        <v>0</v>
      </c>
      <c r="AR75" s="59">
        <f>Table1345[[#This Row],[CCCM_PiN]]</f>
        <v>0</v>
      </c>
      <c r="AT75" s="79">
        <f>Table136[[#This Row],[Overall Intersectorial Final PiN]]-(Table8[[#This Row],[IDPs]]+Table8[[#This Row],[Returnee Migrants]]+Table8[[#This Row],[Refugees]])</f>
        <v>10643.014168443413</v>
      </c>
      <c r="AU75" s="66">
        <f>'Baseline_2020 Population Proj'!L74</f>
        <v>0</v>
      </c>
      <c r="AV75" s="66">
        <f>'Baseline_2020 Population Proj'!O74</f>
        <v>0</v>
      </c>
      <c r="AW75" s="78">
        <f>'Baseline_2020 Population Proj'!R74</f>
        <v>0</v>
      </c>
      <c r="AY75" s="59">
        <v>0</v>
      </c>
      <c r="BA75" s="66">
        <f>MAX(Table136[[#This Row],[IPC 4]],Table136[[#This Row],[SAM]],Table136[[#This Row],[Gap]])</f>
        <v>518</v>
      </c>
      <c r="BB75" s="79">
        <f>Table136[[#This Row],[Overall Intersectorial Final PiN]]-BA75</f>
        <v>10125.014168443413</v>
      </c>
      <c r="BC75" s="62">
        <f>Table136[[#This Row],[Overall Intersectorial Final PiN]]*0.07</f>
        <v>745.01099179103903</v>
      </c>
    </row>
    <row r="76" spans="1:55" x14ac:dyDescent="0.2">
      <c r="A76" s="223" t="s">
        <v>56</v>
      </c>
      <c r="B76" s="223" t="s">
        <v>60</v>
      </c>
      <c r="C76" s="223" t="s">
        <v>518</v>
      </c>
      <c r="D76" s="209">
        <f>'Baseline_2020 Population Proj'!C75</f>
        <v>120955.83107152727</v>
      </c>
      <c r="E76" s="209">
        <v>109733</v>
      </c>
      <c r="F76" s="206"/>
      <c r="G76" s="52"/>
      <c r="H76" s="52">
        <v>11968.31140411002</v>
      </c>
      <c r="I76" s="52"/>
      <c r="J76" s="52"/>
      <c r="K76" s="52">
        <v>14825.041378211305</v>
      </c>
      <c r="L76" s="52">
        <v>7429</v>
      </c>
      <c r="M76" s="52">
        <v>32608</v>
      </c>
      <c r="N76" s="52">
        <v>21947</v>
      </c>
      <c r="O76" s="52">
        <v>10973</v>
      </c>
      <c r="P76" s="52">
        <v>32920</v>
      </c>
      <c r="Q76" s="51">
        <v>15931.153704000002</v>
      </c>
      <c r="R76" s="52">
        <v>11311.119129840001</v>
      </c>
      <c r="S76" s="52">
        <v>14875.148105176426</v>
      </c>
      <c r="T76" s="74">
        <v>702.9</v>
      </c>
      <c r="U76" s="74"/>
      <c r="V76" s="52"/>
      <c r="W76" s="52">
        <v>152.4653332834377</v>
      </c>
      <c r="X76" s="52">
        <v>301.11903323478953</v>
      </c>
      <c r="Y76" s="52">
        <v>13416.420782453804</v>
      </c>
      <c r="Z76" s="52"/>
      <c r="AA76" s="52"/>
      <c r="AB76" s="66">
        <v>39915.424253603996</v>
      </c>
      <c r="AC76" s="52">
        <v>47172.774117895635</v>
      </c>
      <c r="AD76" s="52">
        <v>0</v>
      </c>
      <c r="AE76" s="52">
        <v>0</v>
      </c>
      <c r="AF76" s="52">
        <v>0</v>
      </c>
      <c r="AG76" s="84"/>
      <c r="AH76"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47172.774117895635</v>
      </c>
      <c r="AJ76" s="59">
        <f>Table1345[[#This Row],[FSC PiN]]</f>
        <v>32920</v>
      </c>
      <c r="AK76" s="59">
        <f>Table1345[[#This Row],[Education PiN]]</f>
        <v>32608</v>
      </c>
      <c r="AL76" s="59">
        <f>Table1345[[#This Row],[Nutrition PiN]]</f>
        <v>13416.420782453804</v>
      </c>
      <c r="AM76" s="59">
        <f>Table1345[[#This Row],[WASH_PiN]]</f>
        <v>47172.774117895635</v>
      </c>
      <c r="AN76" s="59">
        <f>Table1345[[#This Row],[Health PiN]]</f>
        <v>0</v>
      </c>
      <c r="AO76" s="59">
        <f>Table1345[[#This Row],[Protection/GBV PiN]]</f>
        <v>13805.801793839266</v>
      </c>
      <c r="AP76" s="59">
        <f>Table1345[[#This Row],[CP_PiN]]</f>
        <v>11968.31140411002</v>
      </c>
      <c r="AQ76" s="59">
        <f>Table1345[[#This Row],[Shelter/NFIs PiN]]</f>
        <v>0</v>
      </c>
      <c r="AR76" s="59">
        <f>Table1345[[#This Row],[CCCM_PiN]]</f>
        <v>0</v>
      </c>
      <c r="AT76" s="79">
        <f>Table136[[#This Row],[Overall Intersectorial Final PiN]]-(Table8[[#This Row],[IDPs]]+Table8[[#This Row],[Returnee Migrants]]+Table8[[#This Row],[Refugees]])</f>
        <v>47172.774117895635</v>
      </c>
      <c r="AU76" s="66">
        <f>'Baseline_2020 Population Proj'!L75</f>
        <v>0</v>
      </c>
      <c r="AV76" s="66">
        <f>'Baseline_2020 Population Proj'!O75</f>
        <v>0</v>
      </c>
      <c r="AW76" s="78">
        <f>'Baseline_2020 Population Proj'!R75</f>
        <v>0</v>
      </c>
      <c r="AY76" s="59">
        <v>31312</v>
      </c>
      <c r="BA76" s="66">
        <f>MAX(Table136[[#This Row],[IPC 4]],Table136[[#This Row],[SAM]],Table136[[#This Row],[Gap]])</f>
        <v>10973</v>
      </c>
      <c r="BB76" s="79">
        <f>Table136[[#This Row],[Overall Intersectorial Final PiN]]-BA76</f>
        <v>36199.774117895635</v>
      </c>
      <c r="BC76" s="62">
        <f>Table136[[#This Row],[Overall Intersectorial Final PiN]]*0.07</f>
        <v>3302.0941882526949</v>
      </c>
    </row>
    <row r="77" spans="1:55" x14ac:dyDescent="0.2">
      <c r="A77" s="223" t="s">
        <v>56</v>
      </c>
      <c r="B77" s="223" t="s">
        <v>58</v>
      </c>
      <c r="C77" s="223" t="s">
        <v>518</v>
      </c>
      <c r="D77" s="209">
        <f>'Baseline_2020 Population Proj'!C76</f>
        <v>79828.702639155541</v>
      </c>
      <c r="E77" s="209">
        <v>72422</v>
      </c>
      <c r="F77" s="206"/>
      <c r="G77" s="52"/>
      <c r="H77" s="52">
        <v>13060.690107822784</v>
      </c>
      <c r="I77" s="52"/>
      <c r="J77" s="52"/>
      <c r="K77" s="52">
        <v>14159.16456821399</v>
      </c>
      <c r="L77" s="52">
        <v>1628</v>
      </c>
      <c r="M77" s="52">
        <v>26672</v>
      </c>
      <c r="N77" s="52">
        <v>10863</v>
      </c>
      <c r="O77" s="52">
        <v>3621</v>
      </c>
      <c r="P77" s="52">
        <v>14484</v>
      </c>
      <c r="Q77" s="51">
        <v>10706.163124800001</v>
      </c>
      <c r="R77" s="52">
        <v>7601.3758186080004</v>
      </c>
      <c r="S77" s="52">
        <v>9817.333850563351</v>
      </c>
      <c r="T77" s="74">
        <v>388.79999999999995</v>
      </c>
      <c r="U77" s="74"/>
      <c r="V77" s="52"/>
      <c r="W77" s="52">
        <v>0</v>
      </c>
      <c r="X77" s="52">
        <v>131.71735935460663</v>
      </c>
      <c r="Y77" s="52">
        <v>0</v>
      </c>
      <c r="Z77" s="52"/>
      <c r="AA77" s="52"/>
      <c r="AB77" s="66">
        <v>23948.610791746662</v>
      </c>
      <c r="AC77" s="52">
        <v>35922.916187619994</v>
      </c>
      <c r="AD77" s="52">
        <v>0</v>
      </c>
      <c r="AE77" s="52">
        <v>0</v>
      </c>
      <c r="AF77" s="52">
        <v>0</v>
      </c>
      <c r="AG77" s="84"/>
      <c r="AH77"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35922.916187619994</v>
      </c>
      <c r="AJ77" s="59">
        <f>Table1345[[#This Row],[FSC PiN]]</f>
        <v>14484</v>
      </c>
      <c r="AK77" s="59">
        <f>Table1345[[#This Row],[Education PiN]]</f>
        <v>26672</v>
      </c>
      <c r="AL77" s="59">
        <f>Table1345[[#This Row],[Nutrition PiN]]</f>
        <v>0</v>
      </c>
      <c r="AM77" s="59">
        <f>Table1345[[#This Row],[WASH_PiN]]</f>
        <v>35922.916187619994</v>
      </c>
      <c r="AN77" s="59">
        <f>Table1345[[#This Row],[Health PiN]]</f>
        <v>0</v>
      </c>
      <c r="AO77" s="59">
        <f>Table1345[[#This Row],[Protection/GBV PiN]]</f>
        <v>9111.5842562711023</v>
      </c>
      <c r="AP77" s="59">
        <f>Table1345[[#This Row],[CP_PiN]]</f>
        <v>13060.690107822784</v>
      </c>
      <c r="AQ77" s="59">
        <f>Table1345[[#This Row],[Shelter/NFIs PiN]]</f>
        <v>0</v>
      </c>
      <c r="AR77" s="59">
        <f>Table1345[[#This Row],[CCCM_PiN]]</f>
        <v>0</v>
      </c>
      <c r="AT77" s="79">
        <f>Table136[[#This Row],[Overall Intersectorial Final PiN]]-(Table8[[#This Row],[IDPs]]+Table8[[#This Row],[Returnee Migrants]]+Table8[[#This Row],[Refugees]])</f>
        <v>35922.916187619994</v>
      </c>
      <c r="AU77" s="66">
        <f>'Baseline_2020 Population Proj'!L76</f>
        <v>0</v>
      </c>
      <c r="AV77" s="66">
        <f>'Baseline_2020 Population Proj'!O76</f>
        <v>0</v>
      </c>
      <c r="AW77" s="78">
        <f>'Baseline_2020 Population Proj'!R76</f>
        <v>0</v>
      </c>
      <c r="AY77" s="59">
        <v>22298</v>
      </c>
      <c r="BA77" s="66">
        <f>MAX(Table136[[#This Row],[IPC 4]],Table136[[#This Row],[SAM]],Table136[[#This Row],[Gap]])</f>
        <v>3621</v>
      </c>
      <c r="BB77" s="79">
        <f>Table136[[#This Row],[Overall Intersectorial Final PiN]]-BA77</f>
        <v>32301.916187619994</v>
      </c>
      <c r="BC77" s="62">
        <f>Table136[[#This Row],[Overall Intersectorial Final PiN]]*0.07</f>
        <v>2514.6041331334</v>
      </c>
    </row>
    <row r="78" spans="1:55" x14ac:dyDescent="0.2">
      <c r="A78" s="223" t="s">
        <v>56</v>
      </c>
      <c r="B78" s="223" t="s">
        <v>61</v>
      </c>
      <c r="C78" s="223" t="s">
        <v>518</v>
      </c>
      <c r="D78" s="209">
        <f>'Baseline_2020 Population Proj'!C77</f>
        <v>113248.78924042211</v>
      </c>
      <c r="E78" s="209">
        <v>102741</v>
      </c>
      <c r="F78" s="206"/>
      <c r="G78" s="52"/>
      <c r="H78" s="52">
        <v>15413.169333979473</v>
      </c>
      <c r="I78" s="52"/>
      <c r="J78" s="52"/>
      <c r="K78" s="52">
        <v>15829.257059844793</v>
      </c>
      <c r="L78" s="52">
        <v>2432</v>
      </c>
      <c r="M78" s="52">
        <v>20441</v>
      </c>
      <c r="N78" s="52">
        <v>20548</v>
      </c>
      <c r="O78" s="52">
        <v>10274</v>
      </c>
      <c r="P78" s="52">
        <v>30822</v>
      </c>
      <c r="Q78" s="51">
        <v>15090.584438400001</v>
      </c>
      <c r="R78" s="52">
        <v>10714.314951263999</v>
      </c>
      <c r="S78" s="52">
        <v>13927.336100787112</v>
      </c>
      <c r="T78" s="74">
        <v>597.15</v>
      </c>
      <c r="U78" s="74"/>
      <c r="V78" s="52">
        <v>4982.9467265785734</v>
      </c>
      <c r="W78" s="52">
        <v>195.25653317314155</v>
      </c>
      <c r="X78" s="52">
        <v>773.02061483246746</v>
      </c>
      <c r="Y78" s="52">
        <v>12724.633959053828</v>
      </c>
      <c r="Z78" s="52"/>
      <c r="AA78" s="52"/>
      <c r="AB78" s="66">
        <v>32842.148879722408</v>
      </c>
      <c r="AC78" s="52">
        <v>0</v>
      </c>
      <c r="AD78" s="52">
        <v>0</v>
      </c>
      <c r="AE78" s="52">
        <v>0</v>
      </c>
      <c r="AF78" s="52">
        <v>0</v>
      </c>
      <c r="AG78" s="84"/>
      <c r="AH78"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32842.148879722408</v>
      </c>
      <c r="AJ78" s="59">
        <f>Table1345[[#This Row],[FSC PiN]]</f>
        <v>30822</v>
      </c>
      <c r="AK78" s="59">
        <f>Table1345[[#This Row],[Education PiN]]</f>
        <v>20441</v>
      </c>
      <c r="AL78" s="59">
        <f>Table1345[[#This Row],[Nutrition PiN]]</f>
        <v>12724.633959053828</v>
      </c>
      <c r="AM78" s="59">
        <f>Table1345[[#This Row],[WASH_PiN]]</f>
        <v>32842.148879722408</v>
      </c>
      <c r="AN78" s="59">
        <f>Table1345[[#This Row],[Health PiN]]</f>
        <v>0</v>
      </c>
      <c r="AO78" s="59">
        <f>Table1345[[#This Row],[Protection/GBV PiN]]</f>
        <v>12926.126204870387</v>
      </c>
      <c r="AP78" s="59">
        <f>Table1345[[#This Row],[CP_PiN]]</f>
        <v>15413.169333979473</v>
      </c>
      <c r="AQ78" s="59">
        <f>Table1345[[#This Row],[Shelter/NFIs PiN]]</f>
        <v>0</v>
      </c>
      <c r="AR78" s="59">
        <f>Table1345[[#This Row],[CCCM_PiN]]</f>
        <v>0</v>
      </c>
      <c r="AT78" s="79">
        <f>Table136[[#This Row],[Overall Intersectorial Final PiN]]-(Table8[[#This Row],[IDPs]]+Table8[[#This Row],[Returnee Migrants]]+Table8[[#This Row],[Refugees]])</f>
        <v>32842.148879722408</v>
      </c>
      <c r="AU78" s="66">
        <f>'Baseline_2020 Population Proj'!L77</f>
        <v>0</v>
      </c>
      <c r="AV78" s="66">
        <f>'Baseline_2020 Population Proj'!O77</f>
        <v>0</v>
      </c>
      <c r="AW78" s="78">
        <f>'Baseline_2020 Population Proj'!R77</f>
        <v>0</v>
      </c>
      <c r="AY78" s="59">
        <v>66572</v>
      </c>
      <c r="BA78" s="66">
        <f>MAX(Table136[[#This Row],[IPC 4]],Table136[[#This Row],[SAM]],Table136[[#This Row],[Gap]])</f>
        <v>10274</v>
      </c>
      <c r="BB78" s="79">
        <f>Table136[[#This Row],[Overall Intersectorial Final PiN]]-BA78</f>
        <v>22568.148879722408</v>
      </c>
      <c r="BC78" s="62">
        <f>Table136[[#This Row],[Overall Intersectorial Final PiN]]*0.07</f>
        <v>2298.9504215805687</v>
      </c>
    </row>
    <row r="79" spans="1:55" x14ac:dyDescent="0.2">
      <c r="A79" s="223" t="s">
        <v>56</v>
      </c>
      <c r="B79" s="223" t="s">
        <v>65</v>
      </c>
      <c r="C79" s="223" t="s">
        <v>517</v>
      </c>
      <c r="D79" s="209">
        <f>'Baseline_2020 Population Proj'!C78</f>
        <v>14015.652796563205</v>
      </c>
      <c r="E79" s="209"/>
      <c r="F79" s="206"/>
      <c r="G79" s="52"/>
      <c r="H79" s="52"/>
      <c r="I79" s="52"/>
      <c r="J79" s="52"/>
      <c r="K79" s="52"/>
      <c r="L79" s="52"/>
      <c r="M79" s="52"/>
      <c r="N79" s="52"/>
      <c r="O79" s="52"/>
      <c r="P79" s="52">
        <v>6117.3521887735769</v>
      </c>
      <c r="Q79" s="51">
        <v>1894.6904880000002</v>
      </c>
      <c r="R79" s="52">
        <v>1345.23024648</v>
      </c>
      <c r="S79" s="52"/>
      <c r="T79" s="74">
        <v>864</v>
      </c>
      <c r="U79" s="74"/>
      <c r="V79" s="52"/>
      <c r="W79" s="52">
        <v>10.511739597422403</v>
      </c>
      <c r="X79" s="52">
        <v>18.921131275360331</v>
      </c>
      <c r="Y79" s="52">
        <v>0</v>
      </c>
      <c r="Z79" s="52"/>
      <c r="AA79" s="52"/>
      <c r="AB79" s="66">
        <v>0</v>
      </c>
      <c r="AC79" s="52">
        <v>0</v>
      </c>
      <c r="AD79" s="52">
        <v>0</v>
      </c>
      <c r="AE79" s="52">
        <v>0</v>
      </c>
      <c r="AF79" s="52">
        <v>0</v>
      </c>
      <c r="AG79" s="84"/>
      <c r="AH79"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6117.3521887735769</v>
      </c>
      <c r="AJ79" s="59">
        <f>Table1345[[#This Row],[FSC PiN]]</f>
        <v>6117.3521887735769</v>
      </c>
      <c r="AK79" s="59">
        <f>Table1345[[#This Row],[Education PiN]]</f>
        <v>0</v>
      </c>
      <c r="AL79" s="59">
        <f>Table1345[[#This Row],[Nutrition PiN]]</f>
        <v>0</v>
      </c>
      <c r="AM79" s="59">
        <f>Table1345[[#This Row],[WASH_PiN]]</f>
        <v>3503.9131991408012</v>
      </c>
      <c r="AN79" s="59">
        <f>Table1345[[#This Row],[Health PiN]]</f>
        <v>0</v>
      </c>
      <c r="AO79" s="59">
        <f>Table1345[[#This Row],[Protection/GBV PiN]]</f>
        <v>1599.7353976774868</v>
      </c>
      <c r="AP79" s="59">
        <f>Table1345[[#This Row],[CP_PiN]]</f>
        <v>0</v>
      </c>
      <c r="AQ79" s="59">
        <f>Table1345[[#This Row],[Shelter/NFIs PiN]]</f>
        <v>0</v>
      </c>
      <c r="AR79" s="59">
        <f>Table1345[[#This Row],[CCCM_PiN]]</f>
        <v>0</v>
      </c>
      <c r="AT79" s="79">
        <f>Table136[[#This Row],[Overall Intersectorial Final PiN]]-(Table8[[#This Row],[IDPs]]+Table8[[#This Row],[Returnee Migrants]]+Table8[[#This Row],[Refugees]])</f>
        <v>6117.3521887735769</v>
      </c>
      <c r="AU79" s="66">
        <f>'Baseline_2020 Population Proj'!L78</f>
        <v>0</v>
      </c>
      <c r="AV79" s="66">
        <f>'Baseline_2020 Population Proj'!O78</f>
        <v>0</v>
      </c>
      <c r="AW79" s="78">
        <f>'Baseline_2020 Population Proj'!R78</f>
        <v>0</v>
      </c>
      <c r="AY79" s="59">
        <v>0</v>
      </c>
      <c r="BA79" s="66">
        <f>MAX(Table136[[#This Row],[IPC 4]],Table136[[#This Row],[SAM]],Table136[[#This Row],[Gap]])</f>
        <v>864</v>
      </c>
      <c r="BB79" s="79">
        <f>Table136[[#This Row],[Overall Intersectorial Final PiN]]-BA79</f>
        <v>5253.3521887735769</v>
      </c>
      <c r="BC79" s="62">
        <f>Table136[[#This Row],[Overall Intersectorial Final PiN]]*0.07</f>
        <v>428.21465321415042</v>
      </c>
    </row>
    <row r="80" spans="1:55" x14ac:dyDescent="0.2">
      <c r="A80" s="223" t="s">
        <v>56</v>
      </c>
      <c r="B80" s="223" t="s">
        <v>62</v>
      </c>
      <c r="C80" s="223" t="s">
        <v>518</v>
      </c>
      <c r="D80" s="209">
        <f>'Baseline_2020 Population Proj'!C79</f>
        <v>75937.207092337543</v>
      </c>
      <c r="E80" s="209">
        <v>68891</v>
      </c>
      <c r="F80" s="206"/>
      <c r="G80" s="52"/>
      <c r="H80" s="52">
        <v>6912.9615557640536</v>
      </c>
      <c r="I80" s="52">
        <v>8542.8885706666679</v>
      </c>
      <c r="J80" s="52">
        <v>8576.7351973333352</v>
      </c>
      <c r="K80" s="52">
        <v>7705.0199096652677</v>
      </c>
      <c r="L80" s="52">
        <v>945</v>
      </c>
      <c r="M80" s="52">
        <v>14230</v>
      </c>
      <c r="N80" s="52">
        <v>17223</v>
      </c>
      <c r="O80" s="52">
        <v>10334</v>
      </c>
      <c r="P80" s="52">
        <v>27557</v>
      </c>
      <c r="Q80" s="51">
        <v>9971.7611711999998</v>
      </c>
      <c r="R80" s="52">
        <v>7079.9504315519998</v>
      </c>
      <c r="S80" s="52">
        <v>9338.7577282156726</v>
      </c>
      <c r="T80" s="74">
        <v>292.95</v>
      </c>
      <c r="U80" s="74"/>
      <c r="V80" s="52"/>
      <c r="W80" s="52">
        <v>129.43842118012083</v>
      </c>
      <c r="X80" s="52">
        <v>0</v>
      </c>
      <c r="Y80" s="52">
        <v>0</v>
      </c>
      <c r="Z80" s="52"/>
      <c r="AA80" s="52"/>
      <c r="AB80" s="66">
        <v>7593.7207092337549</v>
      </c>
      <c r="AC80" s="52">
        <v>0</v>
      </c>
      <c r="AD80" s="52">
        <v>0</v>
      </c>
      <c r="AE80" s="52">
        <v>0</v>
      </c>
      <c r="AF80" s="52">
        <v>0</v>
      </c>
      <c r="AG80" s="84"/>
      <c r="AH80"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27557</v>
      </c>
      <c r="AJ80" s="59">
        <f>Table1345[[#This Row],[FSC PiN]]</f>
        <v>27557</v>
      </c>
      <c r="AK80" s="59">
        <f>Table1345[[#This Row],[Education PiN]]</f>
        <v>14230</v>
      </c>
      <c r="AL80" s="59">
        <f>Table1345[[#This Row],[Nutrition PiN]]</f>
        <v>0</v>
      </c>
      <c r="AM80" s="59">
        <f>Table1345[[#This Row],[WASH_PiN]]</f>
        <v>0</v>
      </c>
      <c r="AN80" s="59">
        <f>Table1345[[#This Row],[Health PiN]]</f>
        <v>0</v>
      </c>
      <c r="AO80" s="59">
        <f>Table1345[[#This Row],[Protection/GBV PiN]]</f>
        <v>8667.4120677537339</v>
      </c>
      <c r="AP80" s="59">
        <f>Table1345[[#This Row],[CP_PiN]]</f>
        <v>8576.7351973333352</v>
      </c>
      <c r="AQ80" s="59">
        <f>Table1345[[#This Row],[Shelter/NFIs PiN]]</f>
        <v>0</v>
      </c>
      <c r="AR80" s="59">
        <f>Table1345[[#This Row],[CCCM_PiN]]</f>
        <v>0</v>
      </c>
      <c r="AT80" s="79">
        <f>Table136[[#This Row],[Overall Intersectorial Final PiN]]-(Table8[[#This Row],[IDPs]]+Table8[[#This Row],[Returnee Migrants]]+Table8[[#This Row],[Refugees]])</f>
        <v>27557</v>
      </c>
      <c r="AU80" s="66">
        <f>'Baseline_2020 Population Proj'!L79</f>
        <v>0</v>
      </c>
      <c r="AV80" s="66">
        <f>'Baseline_2020 Population Proj'!O79</f>
        <v>0</v>
      </c>
      <c r="AW80" s="78">
        <f>'Baseline_2020 Population Proj'!R79</f>
        <v>0</v>
      </c>
      <c r="AY80" s="59">
        <v>18587</v>
      </c>
      <c r="BA80" s="66">
        <f>MAX(Table136[[#This Row],[IPC 4]],Table136[[#This Row],[SAM]],Table136[[#This Row],[Gap]])</f>
        <v>10334</v>
      </c>
      <c r="BB80" s="79">
        <f>Table136[[#This Row],[Overall Intersectorial Final PiN]]-BA80</f>
        <v>17223</v>
      </c>
      <c r="BC80" s="62">
        <f>Table136[[#This Row],[Overall Intersectorial Final PiN]]*0.07</f>
        <v>1928.9900000000002</v>
      </c>
    </row>
    <row r="81" spans="1:55" x14ac:dyDescent="0.2">
      <c r="A81" s="223" t="s">
        <v>66</v>
      </c>
      <c r="B81" s="223" t="s">
        <v>67</v>
      </c>
      <c r="C81" s="223" t="s">
        <v>518</v>
      </c>
      <c r="D81" s="209">
        <f>'Baseline_2020 Population Proj'!C80</f>
        <v>99073.36746915213</v>
      </c>
      <c r="E81" s="209">
        <v>87879</v>
      </c>
      <c r="F81" s="206"/>
      <c r="G81" s="52"/>
      <c r="H81" s="52"/>
      <c r="I81" s="52">
        <v>10975.153803466666</v>
      </c>
      <c r="J81" s="52">
        <v>11018.329074133333</v>
      </c>
      <c r="K81" s="52">
        <v>5975.7974643217703</v>
      </c>
      <c r="L81" s="52">
        <v>1988</v>
      </c>
      <c r="M81" s="52"/>
      <c r="N81" s="52">
        <v>30758</v>
      </c>
      <c r="O81" s="52">
        <v>8788</v>
      </c>
      <c r="P81" s="52">
        <v>39546</v>
      </c>
      <c r="Q81" s="51">
        <v>13893.562392000002</v>
      </c>
      <c r="R81" s="52">
        <v>10559.10741792</v>
      </c>
      <c r="S81" s="52"/>
      <c r="T81" s="74">
        <v>1542</v>
      </c>
      <c r="U81" s="74"/>
      <c r="V81" s="52"/>
      <c r="W81" s="52">
        <v>0</v>
      </c>
      <c r="X81" s="52">
        <v>0</v>
      </c>
      <c r="Y81" s="52">
        <v>0</v>
      </c>
      <c r="Z81" s="52"/>
      <c r="AA81" s="52"/>
      <c r="AB81" s="66">
        <v>24768.341867288033</v>
      </c>
      <c r="AC81" s="52">
        <v>37647.879638277809</v>
      </c>
      <c r="AD81" s="52">
        <v>0</v>
      </c>
      <c r="AE81" s="52">
        <v>0</v>
      </c>
      <c r="AF81" s="52">
        <v>0</v>
      </c>
      <c r="AG81" s="84"/>
      <c r="AH81"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39546</v>
      </c>
      <c r="AJ81" s="59">
        <f>Table1345[[#This Row],[FSC PiN]]</f>
        <v>39546</v>
      </c>
      <c r="AK81" s="59">
        <f>Table1345[[#This Row],[Education PiN]]</f>
        <v>0</v>
      </c>
      <c r="AL81" s="59">
        <f>Table1345[[#This Row],[Nutrition PiN]]</f>
        <v>0</v>
      </c>
      <c r="AM81" s="59">
        <f>Table1345[[#This Row],[WASH_PiN]]</f>
        <v>37647.879638277809</v>
      </c>
      <c r="AN81" s="59">
        <f>Table1345[[#This Row],[Health PiN]]</f>
        <v>0</v>
      </c>
      <c r="AO81" s="59">
        <f>Table1345[[#This Row],[Protection/GBV PiN]]</f>
        <v>13208.857644457239</v>
      </c>
      <c r="AP81" s="59">
        <f>Table1345[[#This Row],[CP_PiN]]</f>
        <v>11018.329074133333</v>
      </c>
      <c r="AQ81" s="59">
        <f>Table1345[[#This Row],[Shelter/NFIs PiN]]</f>
        <v>0</v>
      </c>
      <c r="AR81" s="59">
        <f>Table1345[[#This Row],[CCCM_PiN]]</f>
        <v>0</v>
      </c>
      <c r="AT81" s="79">
        <f>Table136[[#This Row],[Overall Intersectorial Final PiN]]-(Table8[[#This Row],[IDPs]]+Table8[[#This Row],[Returnee Migrants]]+Table8[[#This Row],[Refugees]])</f>
        <v>39546</v>
      </c>
      <c r="AU81" s="66">
        <f>'Baseline_2020 Population Proj'!L80</f>
        <v>0</v>
      </c>
      <c r="AV81" s="66">
        <f>'Baseline_2020 Population Proj'!O80</f>
        <v>0</v>
      </c>
      <c r="AW81" s="78">
        <f>'Baseline_2020 Population Proj'!R80</f>
        <v>0</v>
      </c>
      <c r="AY81" s="59">
        <v>20897</v>
      </c>
      <c r="BA81" s="66">
        <f>MAX(Table136[[#This Row],[IPC 4]],Table136[[#This Row],[SAM]],Table136[[#This Row],[Gap]])</f>
        <v>8788</v>
      </c>
      <c r="BB81" s="79">
        <f>Table136[[#This Row],[Overall Intersectorial Final PiN]]-BA81</f>
        <v>30758</v>
      </c>
      <c r="BC81" s="62">
        <f>Table136[[#This Row],[Overall Intersectorial Final PiN]]*0.07</f>
        <v>2768.2200000000003</v>
      </c>
    </row>
    <row r="82" spans="1:55" x14ac:dyDescent="0.2">
      <c r="A82" s="223" t="s">
        <v>66</v>
      </c>
      <c r="B82" s="223" t="s">
        <v>68</v>
      </c>
      <c r="C82" s="223" t="s">
        <v>518</v>
      </c>
      <c r="D82" s="209">
        <f>'Baseline_2020 Population Proj'!C81</f>
        <v>296355.76430841745</v>
      </c>
      <c r="E82" s="209">
        <v>262869</v>
      </c>
      <c r="F82" s="206"/>
      <c r="G82" s="52"/>
      <c r="H82" s="52">
        <v>38809.907851358119</v>
      </c>
      <c r="I82" s="52">
        <v>34263.26719573333</v>
      </c>
      <c r="J82" s="52">
        <v>34392.416337066657</v>
      </c>
      <c r="K82" s="52">
        <v>45712.401217453102</v>
      </c>
      <c r="L82" s="52">
        <v>27328</v>
      </c>
      <c r="M82" s="52"/>
      <c r="N82" s="52">
        <v>78861</v>
      </c>
      <c r="O82" s="52">
        <v>26287</v>
      </c>
      <c r="P82" s="52">
        <v>105148</v>
      </c>
      <c r="Q82" s="51">
        <v>41259.909420000004</v>
      </c>
      <c r="R82" s="52">
        <v>31357.5311592</v>
      </c>
      <c r="S82" s="52"/>
      <c r="T82" s="74">
        <v>4498</v>
      </c>
      <c r="U82" s="74">
        <v>88906.729292525226</v>
      </c>
      <c r="V82" s="52"/>
      <c r="W82" s="52">
        <v>1519.7731502995766</v>
      </c>
      <c r="X82" s="52">
        <v>391.72152948971552</v>
      </c>
      <c r="Y82" s="52">
        <v>34080.912895468005</v>
      </c>
      <c r="Z82" s="52"/>
      <c r="AA82" s="52"/>
      <c r="AB82" s="66">
        <v>168922.78565579792</v>
      </c>
      <c r="AC82" s="52">
        <v>145214.32451112455</v>
      </c>
      <c r="AD82" s="52">
        <v>0</v>
      </c>
      <c r="AE82" s="52">
        <v>0</v>
      </c>
      <c r="AF82" s="52">
        <v>0</v>
      </c>
      <c r="AG82" s="84"/>
      <c r="AH82"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168922.78565579792</v>
      </c>
      <c r="AJ82" s="59">
        <f>Table1345[[#This Row],[FSC PiN]]</f>
        <v>105148</v>
      </c>
      <c r="AK82" s="59">
        <f>Table1345[[#This Row],[Education PiN]]</f>
        <v>45712.401217453102</v>
      </c>
      <c r="AL82" s="59">
        <f>Table1345[[#This Row],[Nutrition PiN]]</f>
        <v>34080.912895468005</v>
      </c>
      <c r="AM82" s="59">
        <f>Table1345[[#This Row],[WASH_PiN]]</f>
        <v>168922.78565579792</v>
      </c>
      <c r="AN82" s="59">
        <f>Table1345[[#This Row],[Health PiN]]</f>
        <v>88906.729292525226</v>
      </c>
      <c r="AO82" s="59">
        <f>Table1345[[#This Row],[Protection/GBV PiN]]</f>
        <v>39511.335920655452</v>
      </c>
      <c r="AP82" s="59">
        <f>Table1345[[#This Row],[CP_PiN]]</f>
        <v>38809.907851358119</v>
      </c>
      <c r="AQ82" s="59">
        <f>Table1345[[#This Row],[Shelter/NFIs PiN]]</f>
        <v>0</v>
      </c>
      <c r="AR82" s="59">
        <f>Table1345[[#This Row],[CCCM_PiN]]</f>
        <v>0</v>
      </c>
      <c r="AT82" s="79">
        <f>Table136[[#This Row],[Overall Intersectorial Final PiN]]-(Table8[[#This Row],[IDPs]]+Table8[[#This Row],[Returnee Migrants]]+Table8[[#This Row],[Refugees]])</f>
        <v>168922.78565579792</v>
      </c>
      <c r="AU82" s="66">
        <f>'Baseline_2020 Population Proj'!L81</f>
        <v>0</v>
      </c>
      <c r="AV82" s="66">
        <f>'Baseline_2020 Population Proj'!O81</f>
        <v>0</v>
      </c>
      <c r="AW82" s="78">
        <f>'Baseline_2020 Population Proj'!R81</f>
        <v>0</v>
      </c>
      <c r="AY82" s="59">
        <v>227034</v>
      </c>
      <c r="BA82" s="66">
        <f>MAX(Table136[[#This Row],[IPC 4]],Table136[[#This Row],[SAM]],Table136[[#This Row],[Gap]])</f>
        <v>26287</v>
      </c>
      <c r="BB82" s="79">
        <f>Table136[[#This Row],[Overall Intersectorial Final PiN]]-BA82</f>
        <v>142635.78565579792</v>
      </c>
      <c r="BC82" s="62">
        <f>Table136[[#This Row],[Overall Intersectorial Final PiN]]*0.07</f>
        <v>11824.594995905856</v>
      </c>
    </row>
    <row r="83" spans="1:55" x14ac:dyDescent="0.2">
      <c r="A83" s="223" t="s">
        <v>66</v>
      </c>
      <c r="B83" s="223" t="s">
        <v>96</v>
      </c>
      <c r="C83" s="223" t="s">
        <v>518</v>
      </c>
      <c r="D83" s="209">
        <f>'Baseline_2020 Population Proj'!C82</f>
        <v>377278.03169775242</v>
      </c>
      <c r="E83" s="209">
        <v>334648</v>
      </c>
      <c r="F83" s="206"/>
      <c r="G83" s="52"/>
      <c r="H83" s="52">
        <v>49426.532293943274</v>
      </c>
      <c r="I83" s="52"/>
      <c r="J83" s="52">
        <v>40478.807553599996</v>
      </c>
      <c r="K83" s="52">
        <v>58129.061914379694</v>
      </c>
      <c r="L83" s="52">
        <v>20449</v>
      </c>
      <c r="M83" s="52">
        <v>81902</v>
      </c>
      <c r="N83" s="52">
        <v>83662</v>
      </c>
      <c r="O83" s="52">
        <v>16732</v>
      </c>
      <c r="P83" s="52">
        <v>100394</v>
      </c>
      <c r="Q83" s="51">
        <v>52613.078976000004</v>
      </c>
      <c r="R83" s="52">
        <v>39985.940021760005</v>
      </c>
      <c r="S83" s="52">
        <v>82986.075852237627</v>
      </c>
      <c r="T83" s="74">
        <v>0</v>
      </c>
      <c r="U83" s="74">
        <v>113183.40950932572</v>
      </c>
      <c r="V83" s="52">
        <v>16600.233394701107</v>
      </c>
      <c r="W83" s="52">
        <v>1369.1541472902304</v>
      </c>
      <c r="X83" s="52">
        <v>0</v>
      </c>
      <c r="Y83" s="52">
        <v>42662.599824381847</v>
      </c>
      <c r="Z83" s="52"/>
      <c r="AA83" s="52"/>
      <c r="AB83" s="66">
        <v>166002.33394701107</v>
      </c>
      <c r="AC83" s="52">
        <v>166002.33394701107</v>
      </c>
      <c r="AD83" s="52">
        <v>0</v>
      </c>
      <c r="AE83" s="52">
        <v>0</v>
      </c>
      <c r="AF83" s="52">
        <v>0</v>
      </c>
      <c r="AG83" s="84"/>
      <c r="AH83"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166002.33394701107</v>
      </c>
      <c r="AJ83" s="59">
        <f>Table1345[[#This Row],[FSC PiN]]</f>
        <v>100394</v>
      </c>
      <c r="AK83" s="59">
        <f>Table1345[[#This Row],[Education PiN]]</f>
        <v>81902</v>
      </c>
      <c r="AL83" s="59">
        <f>Table1345[[#This Row],[Nutrition PiN]]</f>
        <v>42662.599824381847</v>
      </c>
      <c r="AM83" s="59">
        <f>Table1345[[#This Row],[WASH_PiN]]</f>
        <v>166002.33394701107</v>
      </c>
      <c r="AN83" s="59">
        <f>Table1345[[#This Row],[Health PiN]]</f>
        <v>113183.40950932572</v>
      </c>
      <c r="AO83" s="59">
        <f>Table1345[[#This Row],[Protection/GBV PiN]]</f>
        <v>50300.216298071144</v>
      </c>
      <c r="AP83" s="59">
        <f>Table1345[[#This Row],[CP_PiN]]</f>
        <v>49426.532293943274</v>
      </c>
      <c r="AQ83" s="59">
        <f>Table1345[[#This Row],[Shelter/NFIs PiN]]</f>
        <v>0</v>
      </c>
      <c r="AR83" s="59">
        <f>Table1345[[#This Row],[CCCM_PiN]]</f>
        <v>0</v>
      </c>
      <c r="AT83" s="79">
        <f>Table136[[#This Row],[Overall Intersectorial Final PiN]]-(Table8[[#This Row],[IDPs]]+Table8[[#This Row],[Returnee Migrants]]+Table8[[#This Row],[Refugees]])</f>
        <v>166002.33394701107</v>
      </c>
      <c r="AU83" s="66">
        <f>'Baseline_2020 Population Proj'!L82</f>
        <v>0</v>
      </c>
      <c r="AV83" s="66">
        <f>'Baseline_2020 Population Proj'!O82</f>
        <v>0</v>
      </c>
      <c r="AW83" s="78">
        <f>'Baseline_2020 Population Proj'!R82</f>
        <v>0</v>
      </c>
      <c r="AY83" s="59">
        <v>147292</v>
      </c>
      <c r="BA83" s="66">
        <f>MAX(Table136[[#This Row],[IPC 4]],Table136[[#This Row],[SAM]],Table136[[#This Row],[Gap]])</f>
        <v>16732</v>
      </c>
      <c r="BB83" s="79">
        <f>Table136[[#This Row],[Overall Intersectorial Final PiN]]-BA83</f>
        <v>149270.33394701107</v>
      </c>
      <c r="BC83" s="62">
        <f>Table136[[#This Row],[Overall Intersectorial Final PiN]]*0.07</f>
        <v>11620.163376290775</v>
      </c>
    </row>
    <row r="84" spans="1:55" x14ac:dyDescent="0.2">
      <c r="A84" s="223" t="s">
        <v>66</v>
      </c>
      <c r="B84" s="223" t="s">
        <v>75</v>
      </c>
      <c r="C84" s="223" t="s">
        <v>517</v>
      </c>
      <c r="D84" s="209">
        <f>'Baseline_2020 Population Proj'!C83</f>
        <v>29658.756967592006</v>
      </c>
      <c r="E84" s="209"/>
      <c r="F84" s="206"/>
      <c r="G84" s="52"/>
      <c r="H84" s="52"/>
      <c r="I84" s="52"/>
      <c r="J84" s="52"/>
      <c r="K84" s="52"/>
      <c r="L84" s="52"/>
      <c r="M84" s="52"/>
      <c r="N84" s="52"/>
      <c r="O84" s="52"/>
      <c r="P84" s="52">
        <v>14693.329139907968</v>
      </c>
      <c r="Q84" s="51">
        <v>4247.7861600000006</v>
      </c>
      <c r="R84" s="52">
        <v>3228.3174816000005</v>
      </c>
      <c r="S84" s="52"/>
      <c r="T84" s="74">
        <v>833</v>
      </c>
      <c r="U84" s="74"/>
      <c r="V84" s="52">
        <v>1304.9853065740483</v>
      </c>
      <c r="W84" s="52">
        <v>17.795254180555204</v>
      </c>
      <c r="X84" s="52">
        <v>0</v>
      </c>
      <c r="Y84" s="52">
        <v>0</v>
      </c>
      <c r="Z84" s="52"/>
      <c r="AA84" s="52"/>
      <c r="AB84" s="66">
        <v>0</v>
      </c>
      <c r="AC84" s="52">
        <v>0</v>
      </c>
      <c r="AD84" s="52">
        <v>0</v>
      </c>
      <c r="AE84" s="52">
        <v>0</v>
      </c>
      <c r="AF84" s="52">
        <v>0</v>
      </c>
      <c r="AG84" s="84"/>
      <c r="AH84"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14693.329139907968</v>
      </c>
      <c r="AJ84" s="59">
        <f>Table1345[[#This Row],[FSC PiN]]</f>
        <v>14693.329139907968</v>
      </c>
      <c r="AK84" s="59">
        <f>Table1345[[#This Row],[Education PiN]]</f>
        <v>0</v>
      </c>
      <c r="AL84" s="59">
        <f>Table1345[[#This Row],[Nutrition PiN]]</f>
        <v>0</v>
      </c>
      <c r="AM84" s="59">
        <f>Table1345[[#This Row],[WASH_PiN]]</f>
        <v>19871.367168286644</v>
      </c>
      <c r="AN84" s="59">
        <f>Table1345[[#This Row],[Health PiN]]</f>
        <v>0</v>
      </c>
      <c r="AO84" s="59">
        <f>Table1345[[#This Row],[Protection/GBV PiN]]</f>
        <v>3954.2241139472371</v>
      </c>
      <c r="AP84" s="59">
        <f>Table1345[[#This Row],[CP_PiN]]</f>
        <v>0</v>
      </c>
      <c r="AQ84" s="59">
        <f>Table1345[[#This Row],[Shelter/NFIs PiN]]</f>
        <v>0</v>
      </c>
      <c r="AR84" s="59">
        <f>Table1345[[#This Row],[CCCM_PiN]]</f>
        <v>0</v>
      </c>
      <c r="AT84" s="79">
        <f>Table136[[#This Row],[Overall Intersectorial Final PiN]]-(Table8[[#This Row],[IDPs]]+Table8[[#This Row],[Returnee Migrants]]+Table8[[#This Row],[Refugees]])</f>
        <v>14693.329139907968</v>
      </c>
      <c r="AU84" s="66">
        <f>'Baseline_2020 Population Proj'!L83</f>
        <v>0</v>
      </c>
      <c r="AV84" s="66">
        <f>'Baseline_2020 Population Proj'!O83</f>
        <v>0</v>
      </c>
      <c r="AW84" s="78">
        <f>'Baseline_2020 Population Proj'!R83</f>
        <v>0</v>
      </c>
      <c r="AY84" s="59">
        <v>0</v>
      </c>
      <c r="BA84" s="66">
        <f>MAX(Table136[[#This Row],[IPC 4]],Table136[[#This Row],[SAM]],Table136[[#This Row],[Gap]])</f>
        <v>833</v>
      </c>
      <c r="BB84" s="79">
        <f>Table136[[#This Row],[Overall Intersectorial Final PiN]]-BA84</f>
        <v>13860.329139907968</v>
      </c>
      <c r="BC84" s="62">
        <f>Table136[[#This Row],[Overall Intersectorial Final PiN]]*0.07</f>
        <v>1028.5330397935579</v>
      </c>
    </row>
    <row r="85" spans="1:55" x14ac:dyDescent="0.2">
      <c r="A85" s="223" t="s">
        <v>66</v>
      </c>
      <c r="B85" s="223" t="s">
        <v>69</v>
      </c>
      <c r="C85" s="223" t="s">
        <v>518</v>
      </c>
      <c r="D85" s="209">
        <f>'Baseline_2020 Population Proj'!C84</f>
        <v>113197.46579224875</v>
      </c>
      <c r="E85" s="209">
        <v>100407</v>
      </c>
      <c r="F85" s="206"/>
      <c r="G85" s="52"/>
      <c r="H85" s="52">
        <v>20474.74600667262</v>
      </c>
      <c r="I85" s="52">
        <v>13782.9204656</v>
      </c>
      <c r="J85" s="52">
        <v>13832.250889599998</v>
      </c>
      <c r="K85" s="52">
        <v>23857.208379103551</v>
      </c>
      <c r="L85" s="52">
        <v>1719</v>
      </c>
      <c r="M85" s="52">
        <v>78264</v>
      </c>
      <c r="N85" s="52">
        <v>35142</v>
      </c>
      <c r="O85" s="52">
        <v>10041</v>
      </c>
      <c r="P85" s="52">
        <v>45183</v>
      </c>
      <c r="Q85" s="51">
        <v>15639.522692</v>
      </c>
      <c r="R85" s="52">
        <v>11886.037245920001</v>
      </c>
      <c r="S85" s="52">
        <v>15216.003351794079</v>
      </c>
      <c r="T85" s="74">
        <v>714.15</v>
      </c>
      <c r="U85" s="74">
        <v>33959.239737674623</v>
      </c>
      <c r="V85" s="52"/>
      <c r="W85" s="52">
        <v>350.09525502757344</v>
      </c>
      <c r="X85" s="52">
        <v>532.84497815196676</v>
      </c>
      <c r="Y85" s="52">
        <v>12782.257837260728</v>
      </c>
      <c r="Z85" s="52"/>
      <c r="AA85" s="52"/>
      <c r="AB85" s="66">
        <v>0</v>
      </c>
      <c r="AC85" s="52">
        <v>0</v>
      </c>
      <c r="AD85" s="52">
        <v>0</v>
      </c>
      <c r="AE85" s="52">
        <v>0</v>
      </c>
      <c r="AF85" s="52">
        <v>0</v>
      </c>
      <c r="AG85" s="84"/>
      <c r="AH85" s="89">
        <v>45183</v>
      </c>
      <c r="AJ85" s="59">
        <f>Table1345[[#This Row],[FSC PiN]]</f>
        <v>45183</v>
      </c>
      <c r="AK85" s="59">
        <f>Table1345[[#This Row],[Education PiN]]</f>
        <v>78264</v>
      </c>
      <c r="AL85" s="59">
        <f>Table1345[[#This Row],[Nutrition PiN]]</f>
        <v>12782.257837260728</v>
      </c>
      <c r="AM85" s="59">
        <f>Table1345[[#This Row],[WASH_PiN]]</f>
        <v>0</v>
      </c>
      <c r="AN85" s="59">
        <f>Table1345[[#This Row],[Health PiN]]</f>
        <v>33959.239737674623</v>
      </c>
      <c r="AO85" s="59">
        <f>Table1345[[#This Row],[Protection/GBV PiN]]</f>
        <v>15091.938929285774</v>
      </c>
      <c r="AP85" s="59">
        <f>Table1345[[#This Row],[CP_PiN]]</f>
        <v>20474.74600667262</v>
      </c>
      <c r="AQ85" s="59">
        <f>Table1345[[#This Row],[Shelter/NFIs PiN]]</f>
        <v>0</v>
      </c>
      <c r="AR85" s="59">
        <f>Table1345[[#This Row],[CCCM_PiN]]</f>
        <v>0</v>
      </c>
      <c r="AT85" s="79">
        <f>Table136[[#This Row],[Overall Intersectorial Final PiN]]-(Table8[[#This Row],[IDPs]]+Table8[[#This Row],[Returnee Migrants]]+Table8[[#This Row],[Refugees]])</f>
        <v>45183</v>
      </c>
      <c r="AU85" s="66">
        <f>'Baseline_2020 Population Proj'!L84</f>
        <v>0</v>
      </c>
      <c r="AV85" s="66">
        <f>'Baseline_2020 Population Proj'!O84</f>
        <v>0</v>
      </c>
      <c r="AW85" s="78">
        <f>'Baseline_2020 Population Proj'!R84</f>
        <v>0</v>
      </c>
      <c r="AY85" s="59">
        <v>96505</v>
      </c>
      <c r="BA85" s="66">
        <f>MAX(Table136[[#This Row],[IPC 4]],Table136[[#This Row],[SAM]],Table136[[#This Row],[Gap]])</f>
        <v>10041</v>
      </c>
      <c r="BB85" s="79">
        <f>Table136[[#This Row],[Overall Intersectorial Final PiN]]-BA85</f>
        <v>35142</v>
      </c>
      <c r="BC85" s="62">
        <f>Table136[[#This Row],[Overall Intersectorial Final PiN]]*0.07</f>
        <v>3162.8100000000004</v>
      </c>
    </row>
    <row r="86" spans="1:55" x14ac:dyDescent="0.2">
      <c r="A86" s="223" t="s">
        <v>66</v>
      </c>
      <c r="B86" s="223" t="s">
        <v>71</v>
      </c>
      <c r="C86" s="223" t="s">
        <v>517</v>
      </c>
      <c r="D86" s="209">
        <f>'Baseline_2020 Population Proj'!C85</f>
        <v>194648.69330210824</v>
      </c>
      <c r="E86" s="209"/>
      <c r="F86" s="206"/>
      <c r="G86" s="52"/>
      <c r="H86" s="52"/>
      <c r="I86" s="52"/>
      <c r="J86" s="52"/>
      <c r="K86" s="52"/>
      <c r="L86" s="52"/>
      <c r="M86" s="52"/>
      <c r="N86" s="52"/>
      <c r="O86" s="52"/>
      <c r="P86" s="52">
        <v>73685.290181364559</v>
      </c>
      <c r="Q86" s="51">
        <v>27578.111996</v>
      </c>
      <c r="R86" s="52">
        <v>11031.244798400001</v>
      </c>
      <c r="S86" s="52">
        <v>33300.498450124673</v>
      </c>
      <c r="T86" s="74">
        <v>317.40000000000009</v>
      </c>
      <c r="U86" s="74">
        <v>58394.607990632467</v>
      </c>
      <c r="V86" s="52"/>
      <c r="W86" s="52">
        <v>262.77573595784605</v>
      </c>
      <c r="X86" s="52">
        <v>379.56495193911104</v>
      </c>
      <c r="Y86" s="52">
        <v>21450.286001892327</v>
      </c>
      <c r="Z86" s="52"/>
      <c r="AA86" s="52"/>
      <c r="AB86" s="66">
        <v>0</v>
      </c>
      <c r="AC86" s="52">
        <v>0</v>
      </c>
      <c r="AD86" s="52">
        <v>0</v>
      </c>
      <c r="AE86" s="52">
        <v>0</v>
      </c>
      <c r="AF86" s="52">
        <v>0</v>
      </c>
      <c r="AG86" s="84"/>
      <c r="AH86"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73685.290181364559</v>
      </c>
      <c r="AJ86" s="59">
        <f>Table1345[[#This Row],[FSC PiN]]</f>
        <v>73685.290181364559</v>
      </c>
      <c r="AK86" s="59">
        <f>Table1345[[#This Row],[Education PiN]]</f>
        <v>0</v>
      </c>
      <c r="AL86" s="59">
        <f>Table1345[[#This Row],[Nutrition PiN]]</f>
        <v>21450.286001892327</v>
      </c>
      <c r="AM86" s="59">
        <f>Table1345[[#This Row],[WASH_PiN]]</f>
        <v>56448.121057611388</v>
      </c>
      <c r="AN86" s="59">
        <f>Table1345[[#This Row],[Health PiN]]</f>
        <v>58394.607990632467</v>
      </c>
      <c r="AO86" s="59">
        <f>Table1345[[#This Row],[Protection/GBV PiN]]</f>
        <v>25951.34238581028</v>
      </c>
      <c r="AP86" s="59">
        <f>Table1345[[#This Row],[CP_PiN]]</f>
        <v>0</v>
      </c>
      <c r="AQ86" s="59">
        <f>Table1345[[#This Row],[Shelter/NFIs PiN]]</f>
        <v>0</v>
      </c>
      <c r="AR86" s="59">
        <f>Table1345[[#This Row],[CCCM_PiN]]</f>
        <v>0</v>
      </c>
      <c r="AT86" s="79">
        <f>Table136[[#This Row],[Overall Intersectorial Final PiN]]-(Table8[[#This Row],[IDPs]]+Table8[[#This Row],[Returnee Migrants]]+Table8[[#This Row],[Refugees]])</f>
        <v>73685.290181364559</v>
      </c>
      <c r="AU86" s="66">
        <f>'Baseline_2020 Population Proj'!L85</f>
        <v>0</v>
      </c>
      <c r="AV86" s="66">
        <f>'Baseline_2020 Population Proj'!O85</f>
        <v>0</v>
      </c>
      <c r="AW86" s="78">
        <f>'Baseline_2020 Population Proj'!R85</f>
        <v>0</v>
      </c>
      <c r="AY86" s="59">
        <v>0</v>
      </c>
      <c r="BA86" s="66">
        <f>MAX(Table136[[#This Row],[IPC 4]],Table136[[#This Row],[SAM]],Table136[[#This Row],[Gap]])</f>
        <v>317.40000000000009</v>
      </c>
      <c r="BB86" s="79">
        <f>Table136[[#This Row],[Overall Intersectorial Final PiN]]-BA86</f>
        <v>73367.890181364564</v>
      </c>
      <c r="BC86" s="62">
        <f>Table136[[#This Row],[Overall Intersectorial Final PiN]]*0.07</f>
        <v>5157.9703126955192</v>
      </c>
    </row>
    <row r="87" spans="1:55" x14ac:dyDescent="0.2">
      <c r="A87" s="223" t="s">
        <v>66</v>
      </c>
      <c r="B87" s="223" t="s">
        <v>95</v>
      </c>
      <c r="C87" s="223" t="s">
        <v>518</v>
      </c>
      <c r="D87" s="209">
        <f>'Baseline_2020 Population Proj'!C86</f>
        <v>215439.66195545223</v>
      </c>
      <c r="E87" s="209">
        <v>191096</v>
      </c>
      <c r="F87" s="206"/>
      <c r="G87" s="52"/>
      <c r="H87" s="52">
        <v>38654.24841689528</v>
      </c>
      <c r="I87" s="52"/>
      <c r="J87" s="52"/>
      <c r="K87" s="52">
        <v>44511.69794690398</v>
      </c>
      <c r="L87" s="52">
        <v>1407</v>
      </c>
      <c r="M87" s="52">
        <v>41600</v>
      </c>
      <c r="N87" s="52">
        <v>38219</v>
      </c>
      <c r="O87" s="52">
        <v>9555</v>
      </c>
      <c r="P87" s="52">
        <v>47774</v>
      </c>
      <c r="Q87" s="51">
        <v>29669.829804000001</v>
      </c>
      <c r="R87" s="52">
        <v>22549.070651040001</v>
      </c>
      <c r="S87" s="52">
        <v>28959.399360051888</v>
      </c>
      <c r="T87" s="74">
        <v>900</v>
      </c>
      <c r="U87" s="74"/>
      <c r="V87" s="52">
        <v>12064.621069505323</v>
      </c>
      <c r="W87" s="52">
        <v>326.4237302355337</v>
      </c>
      <c r="X87" s="52">
        <v>319.89525563082299</v>
      </c>
      <c r="Y87" s="52">
        <v>24206.800417314615</v>
      </c>
      <c r="Z87" s="52"/>
      <c r="AA87" s="52"/>
      <c r="AB87" s="66">
        <v>32315.949293317834</v>
      </c>
      <c r="AC87" s="52">
        <v>0</v>
      </c>
      <c r="AD87" s="52">
        <v>0</v>
      </c>
      <c r="AE87" s="52">
        <v>0</v>
      </c>
      <c r="AF87" s="52">
        <v>0</v>
      </c>
      <c r="AG87" s="84"/>
      <c r="AH87"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47774</v>
      </c>
      <c r="AJ87" s="59">
        <f>Table1345[[#This Row],[FSC PiN]]</f>
        <v>47774</v>
      </c>
      <c r="AK87" s="59">
        <f>Table1345[[#This Row],[Education PiN]]</f>
        <v>44511.69794690398</v>
      </c>
      <c r="AL87" s="59">
        <f>Table1345[[#This Row],[Nutrition PiN]]</f>
        <v>24206.800417314615</v>
      </c>
      <c r="AM87" s="59">
        <f>Table1345[[#This Row],[WASH_PiN]]</f>
        <v>0</v>
      </c>
      <c r="AN87" s="59">
        <f>Table1345[[#This Row],[Health PiN]]</f>
        <v>28959.399360051888</v>
      </c>
      <c r="AO87" s="59">
        <f>Table1345[[#This Row],[Protection/GBV PiN]]</f>
        <v>28723.277490548713</v>
      </c>
      <c r="AP87" s="59">
        <f>Table1345[[#This Row],[CP_PiN]]</f>
        <v>38654.24841689528</v>
      </c>
      <c r="AQ87" s="59">
        <f>Table1345[[#This Row],[Shelter/NFIs PiN]]</f>
        <v>0</v>
      </c>
      <c r="AR87" s="59">
        <f>Table1345[[#This Row],[CCCM_PiN]]</f>
        <v>0</v>
      </c>
      <c r="AT87" s="79">
        <f>Table136[[#This Row],[Overall Intersectorial Final PiN]]-(Table8[[#This Row],[IDPs]]+Table8[[#This Row],[Returnee Migrants]]+Table8[[#This Row],[Refugees]])</f>
        <v>47774</v>
      </c>
      <c r="AU87" s="66">
        <f>'Baseline_2020 Population Proj'!L86</f>
        <v>0</v>
      </c>
      <c r="AV87" s="66">
        <f>'Baseline_2020 Population Proj'!O86</f>
        <v>0</v>
      </c>
      <c r="AW87" s="78">
        <f>'Baseline_2020 Population Proj'!R86</f>
        <v>0</v>
      </c>
      <c r="AY87" s="59">
        <v>115828</v>
      </c>
      <c r="BA87" s="66">
        <f>MAX(Table136[[#This Row],[IPC 4]],Table136[[#This Row],[SAM]],Table136[[#This Row],[Gap]])</f>
        <v>9555</v>
      </c>
      <c r="BB87" s="79">
        <f>Table136[[#This Row],[Overall Intersectorial Final PiN]]-BA87</f>
        <v>38219</v>
      </c>
      <c r="BC87" s="62">
        <f>Table136[[#This Row],[Overall Intersectorial Final PiN]]*0.07</f>
        <v>3344.1800000000003</v>
      </c>
    </row>
    <row r="88" spans="1:55" x14ac:dyDescent="0.2">
      <c r="A88" s="223" t="s">
        <v>66</v>
      </c>
      <c r="B88" s="223" t="s">
        <v>72</v>
      </c>
      <c r="C88" s="223" t="s">
        <v>517</v>
      </c>
      <c r="D88" s="209">
        <f>'Baseline_2020 Population Proj'!C87</f>
        <v>124410.43394154956</v>
      </c>
      <c r="E88" s="209"/>
      <c r="F88" s="206"/>
      <c r="G88" s="52"/>
      <c r="H88" s="52"/>
      <c r="I88" s="52"/>
      <c r="J88" s="52"/>
      <c r="K88" s="52"/>
      <c r="L88" s="52"/>
      <c r="M88" s="52"/>
      <c r="N88" s="52"/>
      <c r="O88" s="52"/>
      <c r="P88" s="52">
        <v>40127.928647952998</v>
      </c>
      <c r="Q88" s="51">
        <v>17421.319860000003</v>
      </c>
      <c r="R88" s="52">
        <v>13414.416292200001</v>
      </c>
      <c r="S88" s="52">
        <v>16723.250530423094</v>
      </c>
      <c r="T88" s="74">
        <v>450</v>
      </c>
      <c r="U88" s="74"/>
      <c r="V88" s="52">
        <v>6966.9843007267746</v>
      </c>
      <c r="W88" s="52">
        <v>74.646260364929745</v>
      </c>
      <c r="X88" s="52">
        <v>242.60034618602168</v>
      </c>
      <c r="Y88" s="52">
        <v>0</v>
      </c>
      <c r="Z88" s="52"/>
      <c r="AA88" s="52"/>
      <c r="AB88" s="66">
        <v>0</v>
      </c>
      <c r="AC88" s="52">
        <v>0</v>
      </c>
      <c r="AD88" s="52">
        <v>0</v>
      </c>
      <c r="AE88" s="52">
        <v>0</v>
      </c>
      <c r="AF88" s="52">
        <v>0</v>
      </c>
      <c r="AG88" s="84"/>
      <c r="AH88"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40127.928647952998</v>
      </c>
      <c r="AJ88" s="59">
        <f>Table1345[[#This Row],[FSC PiN]]</f>
        <v>40127.928647952998</v>
      </c>
      <c r="AK88" s="59">
        <f>Table1345[[#This Row],[Education PiN]]</f>
        <v>0</v>
      </c>
      <c r="AL88" s="59">
        <f>Table1345[[#This Row],[Nutrition PiN]]</f>
        <v>0</v>
      </c>
      <c r="AM88" s="59">
        <f>Table1345[[#This Row],[WASH_PiN]]</f>
        <v>0</v>
      </c>
      <c r="AN88" s="59">
        <f>Table1345[[#This Row],[Health PiN]]</f>
        <v>16723.250530423094</v>
      </c>
      <c r="AO88" s="59">
        <f>Table1345[[#This Row],[Protection/GBV PiN]]</f>
        <v>16586.896694823157</v>
      </c>
      <c r="AP88" s="59">
        <f>Table1345[[#This Row],[CP_PiN]]</f>
        <v>0</v>
      </c>
      <c r="AQ88" s="59">
        <f>Table1345[[#This Row],[Shelter/NFIs PiN]]</f>
        <v>0</v>
      </c>
      <c r="AR88" s="59">
        <f>Table1345[[#This Row],[CCCM_PiN]]</f>
        <v>0</v>
      </c>
      <c r="AT88" s="79">
        <f>Table136[[#This Row],[Overall Intersectorial Final PiN]]-(Table8[[#This Row],[IDPs]]+Table8[[#This Row],[Returnee Migrants]]+Table8[[#This Row],[Refugees]])</f>
        <v>40127.928647952998</v>
      </c>
      <c r="AU88" s="66">
        <f>'Baseline_2020 Population Proj'!L87</f>
        <v>0</v>
      </c>
      <c r="AV88" s="66">
        <f>'Baseline_2020 Population Proj'!O87</f>
        <v>0</v>
      </c>
      <c r="AW88" s="78">
        <f>'Baseline_2020 Population Proj'!R87</f>
        <v>0</v>
      </c>
      <c r="AY88" s="59">
        <v>0</v>
      </c>
      <c r="BA88" s="66">
        <f>MAX(Table136[[#This Row],[IPC 4]],Table136[[#This Row],[SAM]],Table136[[#This Row],[Gap]])</f>
        <v>450</v>
      </c>
      <c r="BB88" s="79">
        <f>Table136[[#This Row],[Overall Intersectorial Final PiN]]-BA88</f>
        <v>39677.928647952998</v>
      </c>
      <c r="BC88" s="62">
        <f>Table136[[#This Row],[Overall Intersectorial Final PiN]]*0.07</f>
        <v>2808.95500535671</v>
      </c>
    </row>
    <row r="89" spans="1:55" x14ac:dyDescent="0.2">
      <c r="A89" s="223" t="s">
        <v>66</v>
      </c>
      <c r="B89" s="223" t="s">
        <v>70</v>
      </c>
      <c r="C89" s="223" t="s">
        <v>518</v>
      </c>
      <c r="D89" s="209">
        <f>'Baseline_2020 Population Proj'!C88</f>
        <v>229039.73218712016</v>
      </c>
      <c r="E89" s="209">
        <v>203160</v>
      </c>
      <c r="F89" s="206"/>
      <c r="G89" s="52"/>
      <c r="H89" s="52">
        <v>18032.83659133983</v>
      </c>
      <c r="I89" s="52"/>
      <c r="J89" s="52">
        <v>24065.017490800001</v>
      </c>
      <c r="K89" s="52">
        <v>19394.985516178844</v>
      </c>
      <c r="L89" s="52">
        <v>8461</v>
      </c>
      <c r="M89" s="52">
        <v>49868</v>
      </c>
      <c r="N89" s="52">
        <v>81264</v>
      </c>
      <c r="O89" s="52">
        <v>20316</v>
      </c>
      <c r="P89" s="52">
        <v>101580</v>
      </c>
      <c r="Q89" s="51">
        <v>32407.030108000003</v>
      </c>
      <c r="R89" s="52">
        <v>24629.342882080004</v>
      </c>
      <c r="S89" s="52"/>
      <c r="T89" s="74">
        <v>3669</v>
      </c>
      <c r="U89" s="74">
        <v>68711.919656136044</v>
      </c>
      <c r="V89" s="52"/>
      <c r="W89" s="52">
        <v>1549.8929245744971</v>
      </c>
      <c r="X89" s="52">
        <v>270.97294631310797</v>
      </c>
      <c r="Y89" s="52">
        <v>25936.459272869484</v>
      </c>
      <c r="Z89" s="52"/>
      <c r="AA89" s="52"/>
      <c r="AB89" s="66">
        <v>89325.495552976849</v>
      </c>
      <c r="AC89" s="52">
        <v>0</v>
      </c>
      <c r="AD89" s="52">
        <v>0</v>
      </c>
      <c r="AE89" s="52">
        <v>0</v>
      </c>
      <c r="AF89" s="52">
        <v>0</v>
      </c>
      <c r="AG89" s="84"/>
      <c r="AH89"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101580</v>
      </c>
      <c r="AJ89" s="59">
        <f>Table1345[[#This Row],[FSC PiN]]</f>
        <v>101580</v>
      </c>
      <c r="AK89" s="59">
        <f>Table1345[[#This Row],[Education PiN]]</f>
        <v>49868</v>
      </c>
      <c r="AL89" s="59">
        <f>Table1345[[#This Row],[Nutrition PiN]]</f>
        <v>25936.459272869484</v>
      </c>
      <c r="AM89" s="59">
        <f>Table1345[[#This Row],[WASH_PiN]]</f>
        <v>89325.495552976849</v>
      </c>
      <c r="AN89" s="59">
        <f>Table1345[[#This Row],[Health PiN]]</f>
        <v>0</v>
      </c>
      <c r="AO89" s="59">
        <f>Table1345[[#This Row],[Protection/GBV PiN]]</f>
        <v>30536.493254115609</v>
      </c>
      <c r="AP89" s="59">
        <f>Table1345[[#This Row],[CP_PiN]]</f>
        <v>24065.017490800001</v>
      </c>
      <c r="AQ89" s="59">
        <f>Table1345[[#This Row],[Shelter/NFIs PiN]]</f>
        <v>0</v>
      </c>
      <c r="AR89" s="59">
        <f>Table1345[[#This Row],[CCCM_PiN]]</f>
        <v>0</v>
      </c>
      <c r="AT89" s="79">
        <f>Table136[[#This Row],[Overall Intersectorial Final PiN]]-(Table8[[#This Row],[IDPs]]+Table8[[#This Row],[Returnee Migrants]]+Table8[[#This Row],[Refugees]])</f>
        <v>101580</v>
      </c>
      <c r="AU89" s="66">
        <f>'Baseline_2020 Population Proj'!L88</f>
        <v>0</v>
      </c>
      <c r="AV89" s="66">
        <f>'Baseline_2020 Population Proj'!O88</f>
        <v>0</v>
      </c>
      <c r="AW89" s="78">
        <f>'Baseline_2020 Population Proj'!R88</f>
        <v>0</v>
      </c>
      <c r="AY89" s="59">
        <v>93593</v>
      </c>
      <c r="BA89" s="66">
        <f>MAX(Table136[[#This Row],[IPC 4]],Table136[[#This Row],[SAM]],Table136[[#This Row],[Gap]])</f>
        <v>20316</v>
      </c>
      <c r="BB89" s="79">
        <f>Table136[[#This Row],[Overall Intersectorial Final PiN]]-BA89</f>
        <v>81264</v>
      </c>
      <c r="BC89" s="62">
        <f>Table136[[#This Row],[Overall Intersectorial Final PiN]]*0.07</f>
        <v>7110.6</v>
      </c>
    </row>
    <row r="90" spans="1:55" x14ac:dyDescent="0.2">
      <c r="A90" s="223" t="s">
        <v>66</v>
      </c>
      <c r="B90" s="223" t="s">
        <v>73</v>
      </c>
      <c r="C90" s="223" t="s">
        <v>517</v>
      </c>
      <c r="D90" s="209">
        <f>'Baseline_2020 Population Proj'!C89</f>
        <v>44300.718345747613</v>
      </c>
      <c r="E90" s="209"/>
      <c r="F90" s="206"/>
      <c r="G90" s="52"/>
      <c r="H90" s="52"/>
      <c r="I90" s="52"/>
      <c r="J90" s="52"/>
      <c r="K90" s="52"/>
      <c r="L90" s="52"/>
      <c r="M90" s="52"/>
      <c r="N90" s="52"/>
      <c r="O90" s="52"/>
      <c r="P90" s="52">
        <v>14288.962818556029</v>
      </c>
      <c r="Q90" s="51">
        <v>6205.305464</v>
      </c>
      <c r="R90" s="52">
        <v>4964.2443712000004</v>
      </c>
      <c r="S90" s="52"/>
      <c r="T90" s="74">
        <v>6000</v>
      </c>
      <c r="U90" s="74">
        <v>13290.215503724283</v>
      </c>
      <c r="V90" s="52">
        <v>2480.8402273618663</v>
      </c>
      <c r="W90" s="52">
        <v>73.096185270483545</v>
      </c>
      <c r="X90" s="52">
        <v>79.741293022345701</v>
      </c>
      <c r="Y90" s="52">
        <v>4917.379736377985</v>
      </c>
      <c r="Z90" s="52"/>
      <c r="AA90" s="52"/>
      <c r="AB90" s="66">
        <v>0</v>
      </c>
      <c r="AC90" s="52">
        <v>0</v>
      </c>
      <c r="AD90" s="52">
        <v>0</v>
      </c>
      <c r="AE90" s="52">
        <v>0</v>
      </c>
      <c r="AF90" s="52">
        <v>0</v>
      </c>
      <c r="AG90" s="84"/>
      <c r="AH90"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14288.962818556029</v>
      </c>
      <c r="AJ90" s="59">
        <f>Table1345[[#This Row],[FSC PiN]]</f>
        <v>14288.962818556029</v>
      </c>
      <c r="AK90" s="59">
        <f>Table1345[[#This Row],[Education PiN]]</f>
        <v>0</v>
      </c>
      <c r="AL90" s="59">
        <f>Table1345[[#This Row],[Nutrition PiN]]</f>
        <v>4917.379736377985</v>
      </c>
      <c r="AM90" s="59">
        <f>Table1345[[#This Row],[WASH_PiN]]</f>
        <v>0</v>
      </c>
      <c r="AN90" s="59">
        <f>Table1345[[#This Row],[Health PiN]]</f>
        <v>13290.215503724283</v>
      </c>
      <c r="AO90" s="59">
        <f>Table1345[[#This Row],[Protection/GBV PiN]]</f>
        <v>5906.3489727284559</v>
      </c>
      <c r="AP90" s="59">
        <f>Table1345[[#This Row],[CP_PiN]]</f>
        <v>0</v>
      </c>
      <c r="AQ90" s="59">
        <f>Table1345[[#This Row],[Shelter/NFIs PiN]]</f>
        <v>0</v>
      </c>
      <c r="AR90" s="59">
        <f>Table1345[[#This Row],[CCCM_PiN]]</f>
        <v>0</v>
      </c>
      <c r="AT90" s="79">
        <f>Table136[[#This Row],[Overall Intersectorial Final PiN]]-(Table8[[#This Row],[IDPs]]+Table8[[#This Row],[Returnee Migrants]]+Table8[[#This Row],[Refugees]])</f>
        <v>14288.962818556029</v>
      </c>
      <c r="AU90" s="66">
        <f>'Baseline_2020 Population Proj'!L89</f>
        <v>0</v>
      </c>
      <c r="AV90" s="66">
        <v>0</v>
      </c>
      <c r="AW90" s="78">
        <f>'Baseline_2020 Population Proj'!R89</f>
        <v>0</v>
      </c>
      <c r="AY90" s="59">
        <v>0</v>
      </c>
      <c r="BA90" s="66">
        <f>MAX(Table136[[#This Row],[IPC 4]],Table136[[#This Row],[SAM]],Table136[[#This Row],[Gap]])</f>
        <v>6000</v>
      </c>
      <c r="BB90" s="79">
        <f>Table136[[#This Row],[Overall Intersectorial Final PiN]]-BA90</f>
        <v>8288.9628185560287</v>
      </c>
      <c r="BC90" s="62">
        <f>Table136[[#This Row],[Overall Intersectorial Final PiN]]*0.07</f>
        <v>1000.2273972989221</v>
      </c>
    </row>
    <row r="91" spans="1:55" x14ac:dyDescent="0.2">
      <c r="A91" s="223" t="s">
        <v>66</v>
      </c>
      <c r="B91" s="223" t="s">
        <v>94</v>
      </c>
      <c r="C91" s="223" t="s">
        <v>518</v>
      </c>
      <c r="D91" s="209">
        <f>'Baseline_2020 Population Proj'!C90</f>
        <v>95644.374240297329</v>
      </c>
      <c r="E91" s="209">
        <v>84837</v>
      </c>
      <c r="F91" s="206"/>
      <c r="G91" s="52"/>
      <c r="H91" s="52"/>
      <c r="I91" s="52"/>
      <c r="J91" s="52"/>
      <c r="K91" s="52">
        <v>6453.6791218822063</v>
      </c>
      <c r="L91" s="52">
        <v>526</v>
      </c>
      <c r="M91" s="52"/>
      <c r="N91" s="52">
        <v>16967</v>
      </c>
      <c r="O91" s="52">
        <v>8484</v>
      </c>
      <c r="P91" s="52">
        <v>25451</v>
      </c>
      <c r="Q91" s="51">
        <v>13298.750264000002</v>
      </c>
      <c r="R91" s="52">
        <v>10107.050200640002</v>
      </c>
      <c r="S91" s="52">
        <v>16362.839545030065</v>
      </c>
      <c r="T91" s="74">
        <v>168</v>
      </c>
      <c r="U91" s="74"/>
      <c r="V91" s="52"/>
      <c r="W91" s="52">
        <v>380.8846761781752</v>
      </c>
      <c r="X91" s="52">
        <v>6.475039495028966</v>
      </c>
      <c r="Y91" s="52">
        <v>9958.4922458997571</v>
      </c>
      <c r="Z91" s="52"/>
      <c r="AA91" s="52"/>
      <c r="AB91" s="66">
        <v>23911.093560074332</v>
      </c>
      <c r="AC91" s="52">
        <v>0</v>
      </c>
      <c r="AD91" s="52">
        <v>0</v>
      </c>
      <c r="AE91" s="52">
        <v>0</v>
      </c>
      <c r="AF91" s="52">
        <v>0</v>
      </c>
      <c r="AG91" s="84"/>
      <c r="AH91"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25451</v>
      </c>
      <c r="AJ91" s="59">
        <f>Table1345[[#This Row],[FSC PiN]]</f>
        <v>25451</v>
      </c>
      <c r="AK91" s="59">
        <f>Table1345[[#This Row],[Education PiN]]</f>
        <v>0</v>
      </c>
      <c r="AL91" s="59">
        <f>Table1345[[#This Row],[Nutrition PiN]]</f>
        <v>9958.4922458997571</v>
      </c>
      <c r="AM91" s="59">
        <f>Table1345[[#This Row],[WASH_PiN]]</f>
        <v>23911.093560074332</v>
      </c>
      <c r="AN91" s="59">
        <f>Table1345[[#This Row],[Health PiN]]</f>
        <v>0</v>
      </c>
      <c r="AO91" s="59">
        <f>Table1345[[#This Row],[Protection/GBV PiN]]</f>
        <v>12751.690551213402</v>
      </c>
      <c r="AP91" s="59">
        <f>Table1345[[#This Row],[CP_PiN]]</f>
        <v>0</v>
      </c>
      <c r="AQ91" s="59">
        <f>Table1345[[#This Row],[Shelter/NFIs PiN]]</f>
        <v>0</v>
      </c>
      <c r="AR91" s="59">
        <f>Table1345[[#This Row],[CCCM_PiN]]</f>
        <v>0</v>
      </c>
      <c r="AT91" s="79">
        <f>Table136[[#This Row],[Overall Intersectorial Final PiN]]-(Table8[[#This Row],[IDPs]]+Table8[[#This Row],[Returnee Migrants]]+Table8[[#This Row],[Refugees]])</f>
        <v>25451</v>
      </c>
      <c r="AU91" s="66">
        <f>'Baseline_2020 Population Proj'!L90</f>
        <v>0</v>
      </c>
      <c r="AV91" s="66">
        <f>'Baseline_2020 Population Proj'!O90</f>
        <v>0</v>
      </c>
      <c r="AW91" s="78">
        <f>'Baseline_2020 Population Proj'!R90</f>
        <v>0</v>
      </c>
      <c r="AY91" s="59">
        <v>17334</v>
      </c>
      <c r="BA91" s="66">
        <f>MAX(Table136[[#This Row],[IPC 4]],Table136[[#This Row],[SAM]],Table136[[#This Row],[Gap]])</f>
        <v>8484</v>
      </c>
      <c r="BB91" s="79">
        <f>Table136[[#This Row],[Overall Intersectorial Final PiN]]-BA91</f>
        <v>16967</v>
      </c>
      <c r="BC91" s="62">
        <f>Table136[[#This Row],[Overall Intersectorial Final PiN]]*0.07</f>
        <v>1781.5700000000002</v>
      </c>
    </row>
    <row r="92" spans="1:55" x14ac:dyDescent="0.2">
      <c r="A92" s="223" t="s">
        <v>66</v>
      </c>
      <c r="B92" s="223" t="s">
        <v>74</v>
      </c>
      <c r="C92" s="223" t="s">
        <v>517</v>
      </c>
      <c r="D92" s="209">
        <f>'Baseline_2020 Population Proj'!C91</f>
        <v>27009.024335873572</v>
      </c>
      <c r="E92" s="209"/>
      <c r="F92" s="206"/>
      <c r="G92" s="52"/>
      <c r="H92" s="52"/>
      <c r="I92" s="52"/>
      <c r="J92" s="52"/>
      <c r="K92" s="52"/>
      <c r="L92" s="52"/>
      <c r="M92" s="52"/>
      <c r="N92" s="52"/>
      <c r="O92" s="52"/>
      <c r="P92" s="52">
        <v>11788.513637995491</v>
      </c>
      <c r="Q92" s="51">
        <v>3688.1408040000006</v>
      </c>
      <c r="R92" s="52">
        <v>2950.5126432000006</v>
      </c>
      <c r="S92" s="52">
        <v>3630.5530512281262</v>
      </c>
      <c r="T92" s="74">
        <v>167.85</v>
      </c>
      <c r="U92" s="74"/>
      <c r="V92" s="52"/>
      <c r="W92" s="52">
        <v>32.410829203048287</v>
      </c>
      <c r="X92" s="52">
        <v>60.770304755715536</v>
      </c>
      <c r="Y92" s="52">
        <v>2933.1800428758702</v>
      </c>
      <c r="Z92" s="52"/>
      <c r="AA92" s="52"/>
      <c r="AB92" s="66">
        <v>0</v>
      </c>
      <c r="AC92" s="52">
        <v>0</v>
      </c>
      <c r="AD92" s="52">
        <v>0</v>
      </c>
      <c r="AE92" s="52">
        <v>0</v>
      </c>
      <c r="AF92" s="52">
        <v>0</v>
      </c>
      <c r="AG92" s="84"/>
      <c r="AH92"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11788.513637995491</v>
      </c>
      <c r="AJ92" s="59">
        <f>Table1345[[#This Row],[FSC PiN]]</f>
        <v>11788.513637995491</v>
      </c>
      <c r="AK92" s="59">
        <f>Table1345[[#This Row],[Education PiN]]</f>
        <v>0</v>
      </c>
      <c r="AL92" s="59">
        <f>Table1345[[#This Row],[Nutrition PiN]]</f>
        <v>2933.1800428758702</v>
      </c>
      <c r="AM92" s="59">
        <f>Table1345[[#This Row],[WASH_PiN]]</f>
        <v>0</v>
      </c>
      <c r="AN92" s="59">
        <f>Table1345[[#This Row],[Health PiN]]</f>
        <v>0</v>
      </c>
      <c r="AO92" s="59">
        <f>Table1345[[#This Row],[Protection/GBV PiN]]</f>
        <v>3600.9511605560083</v>
      </c>
      <c r="AP92" s="59">
        <f>Table1345[[#This Row],[CP_PiN]]</f>
        <v>0</v>
      </c>
      <c r="AQ92" s="59">
        <f>Table1345[[#This Row],[Shelter/NFIs PiN]]</f>
        <v>0</v>
      </c>
      <c r="AR92" s="59">
        <f>Table1345[[#This Row],[CCCM_PiN]]</f>
        <v>0</v>
      </c>
      <c r="AT92" s="79">
        <f>Table136[[#This Row],[Overall Intersectorial Final PiN]]-(Table8[[#This Row],[IDPs]]+Table8[[#This Row],[Returnee Migrants]]+Table8[[#This Row],[Refugees]])</f>
        <v>11788.513637995491</v>
      </c>
      <c r="AU92" s="66">
        <f>'Baseline_2020 Population Proj'!L91</f>
        <v>0</v>
      </c>
      <c r="AV92" s="66">
        <f>'Baseline_2020 Population Proj'!O91</f>
        <v>0</v>
      </c>
      <c r="AW92" s="78">
        <f>'Baseline_2020 Population Proj'!R91</f>
        <v>0</v>
      </c>
      <c r="AY92" s="59">
        <v>0</v>
      </c>
      <c r="BA92" s="66">
        <f>MAX(Table136[[#This Row],[IPC 4]],Table136[[#This Row],[SAM]],Table136[[#This Row],[Gap]])</f>
        <v>167.85</v>
      </c>
      <c r="BB92" s="79">
        <f>Table136[[#This Row],[Overall Intersectorial Final PiN]]-BA92</f>
        <v>11620.663637995491</v>
      </c>
      <c r="BC92" s="62">
        <f>Table136[[#This Row],[Overall Intersectorial Final PiN]]*0.07</f>
        <v>825.1959546596845</v>
      </c>
    </row>
    <row r="93" spans="1:55" x14ac:dyDescent="0.2">
      <c r="A93" s="223" t="s">
        <v>66</v>
      </c>
      <c r="B93" s="223" t="s">
        <v>93</v>
      </c>
      <c r="C93" s="223" t="s">
        <v>518</v>
      </c>
      <c r="D93" s="209">
        <f>'Baseline_2020 Population Proj'!C92</f>
        <v>89409.056455932441</v>
      </c>
      <c r="E93" s="209">
        <v>79306</v>
      </c>
      <c r="F93" s="206"/>
      <c r="G93" s="52"/>
      <c r="H93" s="52"/>
      <c r="I93" s="52"/>
      <c r="J93" s="52"/>
      <c r="K93" s="52">
        <v>11009.062280460214</v>
      </c>
      <c r="L93" s="52">
        <v>1342</v>
      </c>
      <c r="M93" s="52"/>
      <c r="N93" s="52">
        <v>27757</v>
      </c>
      <c r="O93" s="52">
        <v>3965</v>
      </c>
      <c r="P93" s="52">
        <v>31722</v>
      </c>
      <c r="Q93" s="51">
        <v>12518.798324000001</v>
      </c>
      <c r="R93" s="52">
        <v>9514.2867262400014</v>
      </c>
      <c r="S93" s="52">
        <v>12018.365368806441</v>
      </c>
      <c r="T93" s="74">
        <v>354.59999999999997</v>
      </c>
      <c r="U93" s="74"/>
      <c r="V93" s="52"/>
      <c r="W93" s="52">
        <v>628.65742820577498</v>
      </c>
      <c r="X93" s="52">
        <v>108.96728755566767</v>
      </c>
      <c r="Y93" s="52">
        <v>10282.041492432232</v>
      </c>
      <c r="Z93" s="52"/>
      <c r="AA93" s="52"/>
      <c r="AB93" s="66">
        <v>0</v>
      </c>
      <c r="AC93" s="52">
        <v>0</v>
      </c>
      <c r="AD93" s="52">
        <v>0</v>
      </c>
      <c r="AE93" s="52">
        <v>0</v>
      </c>
      <c r="AF93" s="52">
        <v>0</v>
      </c>
      <c r="AG93" s="84"/>
      <c r="AH93"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31722</v>
      </c>
      <c r="AJ93" s="59">
        <f>Table1345[[#This Row],[FSC PiN]]</f>
        <v>31722</v>
      </c>
      <c r="AK93" s="59">
        <f>Table1345[[#This Row],[Education PiN]]</f>
        <v>0</v>
      </c>
      <c r="AL93" s="59">
        <f>Table1345[[#This Row],[Nutrition PiN]]</f>
        <v>10282.041492432232</v>
      </c>
      <c r="AM93" s="59">
        <f>Table1345[[#This Row],[WASH_PiN]]</f>
        <v>0</v>
      </c>
      <c r="AN93" s="59">
        <f>Table1345[[#This Row],[Health PiN]]</f>
        <v>12018.365368806441</v>
      </c>
      <c r="AO93" s="59">
        <f>Table1345[[#This Row],[Protection/GBV PiN]]</f>
        <v>11920.373042930738</v>
      </c>
      <c r="AP93" s="59">
        <f>Table1345[[#This Row],[CP_PiN]]</f>
        <v>0</v>
      </c>
      <c r="AQ93" s="59">
        <f>Table1345[[#This Row],[Shelter/NFIs PiN]]</f>
        <v>0</v>
      </c>
      <c r="AR93" s="59">
        <f>Table1345[[#This Row],[CCCM_PiN]]</f>
        <v>0</v>
      </c>
      <c r="AT93" s="79">
        <f>Table136[[#This Row],[Overall Intersectorial Final PiN]]-(Table8[[#This Row],[IDPs]]+Table8[[#This Row],[Returnee Migrants]]+Table8[[#This Row],[Refugees]])</f>
        <v>31722</v>
      </c>
      <c r="AU93" s="66">
        <f>'Baseline_2020 Population Proj'!L92</f>
        <v>0</v>
      </c>
      <c r="AV93" s="66">
        <f>'Baseline_2020 Population Proj'!O92</f>
        <v>0</v>
      </c>
      <c r="AW93" s="78">
        <f>'Baseline_2020 Population Proj'!R92</f>
        <v>0</v>
      </c>
      <c r="AY93" s="59">
        <v>27159</v>
      </c>
      <c r="BA93" s="66">
        <f>MAX(Table136[[#This Row],[IPC 4]],Table136[[#This Row],[SAM]],Table136[[#This Row],[Gap]])</f>
        <v>3965</v>
      </c>
      <c r="BB93" s="79">
        <f>Table136[[#This Row],[Overall Intersectorial Final PiN]]-BA93</f>
        <v>27757</v>
      </c>
      <c r="BC93" s="62">
        <f>Table136[[#This Row],[Overall Intersectorial Final PiN]]*0.07</f>
        <v>2220.5400000000004</v>
      </c>
    </row>
    <row r="94" spans="1:55" x14ac:dyDescent="0.2">
      <c r="A94" s="223" t="s">
        <v>66</v>
      </c>
      <c r="B94" s="223" t="s">
        <v>92</v>
      </c>
      <c r="C94" s="223" t="s">
        <v>517</v>
      </c>
      <c r="D94" s="209">
        <f>'Baseline_2020 Population Proj'!C93</f>
        <v>55768.919000756068</v>
      </c>
      <c r="E94" s="209"/>
      <c r="F94" s="206"/>
      <c r="G94" s="52"/>
      <c r="H94" s="52"/>
      <c r="I94" s="52"/>
      <c r="J94" s="52"/>
      <c r="K94" s="52"/>
      <c r="L94" s="52"/>
      <c r="M94" s="52"/>
      <c r="N94" s="52"/>
      <c r="O94" s="52"/>
      <c r="P94" s="52">
        <v>24341.222179709475</v>
      </c>
      <c r="Q94" s="51">
        <v>7831.8418600000005</v>
      </c>
      <c r="R94" s="52">
        <v>6265.4734880000015</v>
      </c>
      <c r="S94" s="52">
        <v>7496.4580920816306</v>
      </c>
      <c r="T94" s="74">
        <v>235.79999999999995</v>
      </c>
      <c r="U94" s="74"/>
      <c r="V94" s="52"/>
      <c r="W94" s="52">
        <v>117.11472990158775</v>
      </c>
      <c r="X94" s="52">
        <v>150.57608130204142</v>
      </c>
      <c r="Y94" s="52">
        <v>6190.3500090839234</v>
      </c>
      <c r="Z94" s="52"/>
      <c r="AA94" s="52"/>
      <c r="AB94" s="66">
        <v>0</v>
      </c>
      <c r="AC94" s="52">
        <v>0</v>
      </c>
      <c r="AD94" s="52">
        <v>0</v>
      </c>
      <c r="AE94" s="52">
        <v>0</v>
      </c>
      <c r="AF94" s="52">
        <v>0</v>
      </c>
      <c r="AG94" s="84"/>
      <c r="AH94" s="89">
        <f>MAX(Table136[[#This Row],[% of population in sites with access to functioning complaints and feedback mechanisms]:[% of children not receiving school feeding school by sex and school-level (as a result of the crisis)]],Table136[[#This Row],[IPC 3 and 4]:[% of HHs not having access to water sources of sufficient quality and availability]])</f>
        <v>24341.222179709475</v>
      </c>
      <c r="AJ94" s="59">
        <f>Table1345[[#This Row],[FSC PiN]]</f>
        <v>24341.222179709475</v>
      </c>
      <c r="AK94" s="59">
        <f>Table1345[[#This Row],[Education PiN]]</f>
        <v>0</v>
      </c>
      <c r="AL94" s="59">
        <f>Table1345[[#This Row],[Nutrition PiN]]</f>
        <v>6190.3500090839234</v>
      </c>
      <c r="AM94" s="59">
        <f>Table1345[[#This Row],[WASH_PiN]]</f>
        <v>0</v>
      </c>
      <c r="AN94" s="59">
        <f>Table1345[[#This Row],[Health PiN]]</f>
        <v>7496.4580920816306</v>
      </c>
      <c r="AO94" s="59">
        <f>Table1345[[#This Row],[Protection/GBV PiN]]</f>
        <v>7435.3353568568018</v>
      </c>
      <c r="AP94" s="59">
        <f>Table1345[[#This Row],[CP_PiN]]</f>
        <v>0</v>
      </c>
      <c r="AQ94" s="59">
        <f>Table1345[[#This Row],[Shelter/NFIs PiN]]</f>
        <v>0</v>
      </c>
      <c r="AR94" s="59">
        <f>Table1345[[#This Row],[CCCM_PiN]]</f>
        <v>0</v>
      </c>
      <c r="AT94" s="79">
        <f>Table136[[#This Row],[Overall Intersectorial Final PiN]]-(Table8[[#This Row],[IDPs]]+Table8[[#This Row],[Returnee Migrants]]+Table8[[#This Row],[Refugees]])</f>
        <v>24341.222179709475</v>
      </c>
      <c r="AU94" s="66">
        <f>'Baseline_2020 Population Proj'!L93</f>
        <v>0</v>
      </c>
      <c r="AV94" s="66">
        <f>'Baseline_2020 Population Proj'!O93</f>
        <v>0</v>
      </c>
      <c r="AW94" s="78">
        <f>'Baseline_2020 Population Proj'!R93</f>
        <v>0</v>
      </c>
      <c r="AY94" s="59">
        <v>0</v>
      </c>
      <c r="BA94" s="66">
        <f>MAX(Table136[[#This Row],[IPC 4]],Table136[[#This Row],[SAM]],Table136[[#This Row],[Gap]])</f>
        <v>235.79999999999995</v>
      </c>
      <c r="BB94" s="79">
        <f>Table136[[#This Row],[Overall Intersectorial Final PiN]]-BA94</f>
        <v>24105.422179709476</v>
      </c>
      <c r="BC94" s="62">
        <f>Table136[[#This Row],[Overall Intersectorial Final PiN]]*0.07</f>
        <v>1703.8855525796635</v>
      </c>
    </row>
    <row r="95" spans="1:55" ht="15.75" x14ac:dyDescent="0.25">
      <c r="A95" s="9"/>
      <c r="B95" s="9"/>
      <c r="C95" s="9"/>
      <c r="D95" s="210">
        <f>SUM(Table136[2020 Population Projection])</f>
        <v>16152763.999999994</v>
      </c>
      <c r="E95" s="210">
        <f>SUM(Table136[IPC Analysis Population Projection])</f>
        <v>9706118</v>
      </c>
      <c r="F95" s="207"/>
      <c r="G95" s="60"/>
      <c r="H95" s="60"/>
      <c r="I95" s="60"/>
      <c r="J95" s="60"/>
      <c r="K95" s="60"/>
      <c r="L95" s="60"/>
      <c r="M95" s="60"/>
      <c r="N95" s="60"/>
      <c r="O95" s="60"/>
      <c r="P95" s="60"/>
      <c r="Q95" s="60"/>
      <c r="R95" s="60"/>
      <c r="S95" s="60"/>
      <c r="T95" s="60"/>
      <c r="U95" s="203"/>
      <c r="V95" s="60"/>
      <c r="W95" s="60"/>
      <c r="X95" s="60"/>
      <c r="Y95" s="60"/>
      <c r="Z95" s="60"/>
      <c r="AA95" s="60"/>
      <c r="AB95" s="60"/>
      <c r="AC95" s="60"/>
      <c r="AD95" s="60"/>
      <c r="AE95" s="60"/>
      <c r="AF95" s="60"/>
      <c r="AG95" s="85"/>
      <c r="AH95" s="90">
        <f>SUM(Table136[Overall Intersectorial Final PiN])</f>
        <v>6845593.8939955505</v>
      </c>
      <c r="AJ95" s="114">
        <f>SUM(AJ3:AJ94)</f>
        <v>5724842.2323050192</v>
      </c>
      <c r="AK95" s="114">
        <f t="shared" ref="AK95:AR95" si="0">SUM(AK3:AK94)</f>
        <v>1730587.4431886843</v>
      </c>
      <c r="AL95" s="114">
        <f t="shared" si="0"/>
        <v>1506414.6277730225</v>
      </c>
      <c r="AM95" s="114">
        <f t="shared" si="0"/>
        <v>3001631.9470417183</v>
      </c>
      <c r="AN95" s="114">
        <f t="shared" si="0"/>
        <v>4152291.2890450279</v>
      </c>
      <c r="AO95" s="114">
        <f t="shared" si="0"/>
        <v>2268105.1765108071</v>
      </c>
      <c r="AP95" s="114">
        <f t="shared" si="0"/>
        <v>1335508.5451340119</v>
      </c>
      <c r="AQ95" s="114">
        <f t="shared" si="0"/>
        <v>106533</v>
      </c>
      <c r="AR95" s="114">
        <f t="shared" si="0"/>
        <v>5032</v>
      </c>
      <c r="AT95" s="91">
        <f>SUM(AT3:AT94)</f>
        <v>6811098.8939955505</v>
      </c>
      <c r="AU95" s="91">
        <f>SUM(AU3:AU94)</f>
        <v>9600</v>
      </c>
      <c r="AV95" s="91">
        <f>SUM(AV3:AV94)</f>
        <v>9490</v>
      </c>
      <c r="AW95" s="91">
        <f>SUM(AW3:AW94)</f>
        <v>15405</v>
      </c>
      <c r="AY95" s="91">
        <f>SUM(AY3:AY94)</f>
        <v>3918375</v>
      </c>
      <c r="BA95" s="248">
        <f>SUM(BA3:BA94)</f>
        <v>822038.95398792764</v>
      </c>
      <c r="BB95" s="248">
        <f>Table136[[#Totals],[Overall Intersectorial Final PiN]]-BA95</f>
        <v>6023554.9400076233</v>
      </c>
      <c r="BC95" s="248">
        <f>SUM(BC3:BC94)</f>
        <v>479191.57257968822</v>
      </c>
    </row>
    <row r="96" spans="1:55" x14ac:dyDescent="0.2">
      <c r="A96" s="4"/>
      <c r="B96" s="4"/>
      <c r="C96" s="4"/>
    </row>
    <row r="97" spans="1:3" x14ac:dyDescent="0.2">
      <c r="A97" s="4"/>
      <c r="B97" s="4"/>
      <c r="C97" s="4"/>
    </row>
    <row r="98" spans="1:3" x14ac:dyDescent="0.2">
      <c r="A98" s="4"/>
      <c r="B98" s="4"/>
      <c r="C98" s="4"/>
    </row>
    <row r="99" spans="1:3" x14ac:dyDescent="0.2">
      <c r="A99" s="4"/>
      <c r="B99" s="4"/>
      <c r="C99" s="4"/>
    </row>
    <row r="100" spans="1:3" x14ac:dyDescent="0.2">
      <c r="A100" s="4"/>
      <c r="B100" s="4"/>
      <c r="C100" s="4"/>
    </row>
    <row r="101" spans="1:3" x14ac:dyDescent="0.2">
      <c r="A101" s="4"/>
      <c r="B101" s="4"/>
      <c r="C101" s="4"/>
    </row>
  </sheetData>
  <mergeCells count="12">
    <mergeCell ref="AJ1:AR1"/>
    <mergeCell ref="AT1:AW1"/>
    <mergeCell ref="F1:G1"/>
    <mergeCell ref="H1:J1"/>
    <mergeCell ref="K1:M1"/>
    <mergeCell ref="Q1:R1"/>
    <mergeCell ref="S1:V1"/>
    <mergeCell ref="W1:Y1"/>
    <mergeCell ref="Z1:AA1"/>
    <mergeCell ref="AB1:AC1"/>
    <mergeCell ref="AD1:AF1"/>
    <mergeCell ref="N1:P1"/>
  </mergeCells>
  <phoneticPr fontId="11" type="noConversion"/>
  <conditionalFormatting sqref="Q3:T3 V3:AF3 F3:N3">
    <cfRule type="cellIs" dxfId="205" priority="152" operator="greaterThan">
      <formula>400000</formula>
    </cfRule>
  </conditionalFormatting>
  <conditionalFormatting sqref="F6:AF6">
    <cfRule type="cellIs" dxfId="204" priority="148" operator="equal">
      <formula>$AH$6</formula>
    </cfRule>
  </conditionalFormatting>
  <conditionalFormatting sqref="Q7:T7 F7:O7 V7:AF7">
    <cfRule type="cellIs" dxfId="203" priority="147" operator="equal">
      <formula>$AH$7</formula>
    </cfRule>
  </conditionalFormatting>
  <conditionalFormatting sqref="F8:AF8">
    <cfRule type="cellIs" dxfId="202" priority="146" operator="equal">
      <formula>$AH$8</formula>
    </cfRule>
  </conditionalFormatting>
  <conditionalFormatting sqref="F9:AF9">
    <cfRule type="cellIs" dxfId="201" priority="145" operator="equal">
      <formula>$AH$9</formula>
    </cfRule>
  </conditionalFormatting>
  <conditionalFormatting sqref="F10">
    <cfRule type="cellIs" dxfId="200" priority="144" operator="equal">
      <formula>$AH$9</formula>
    </cfRule>
  </conditionalFormatting>
  <conditionalFormatting sqref="AE14 F10:AF10">
    <cfRule type="cellIs" dxfId="199" priority="143" operator="equal">
      <formula>$AH$10</formula>
    </cfRule>
  </conditionalFormatting>
  <conditionalFormatting sqref="W10:X10">
    <cfRule type="cellIs" dxfId="198" priority="142" operator="equal">
      <formula>$AH$10</formula>
    </cfRule>
  </conditionalFormatting>
  <conditionalFormatting sqref="AH4:AH94">
    <cfRule type="cellIs" dxfId="197" priority="141" operator="equal">
      <formula>362592</formula>
    </cfRule>
  </conditionalFormatting>
  <conditionalFormatting sqref="F11:AF11">
    <cfRule type="cellIs" dxfId="196" priority="138" operator="equal">
      <formula>$AH$11</formula>
    </cfRule>
  </conditionalFormatting>
  <conditionalFormatting sqref="Q12:T12 F12:O12 V12:AF12">
    <cfRule type="cellIs" dxfId="195" priority="137" operator="equal">
      <formula>$AH$12</formula>
    </cfRule>
  </conditionalFormatting>
  <conditionalFormatting sqref="Q13:T13 F13:O13 V13:AF13">
    <cfRule type="cellIs" dxfId="194" priority="136" operator="equal">
      <formula>$AH$13</formula>
    </cfRule>
  </conditionalFormatting>
  <conditionalFormatting sqref="F14:AF14">
    <cfRule type="cellIs" dxfId="193" priority="135" operator="equal">
      <formula>$AH$14</formula>
    </cfRule>
  </conditionalFormatting>
  <conditionalFormatting sqref="Q15:T15 F15:O15 V15:AF15">
    <cfRule type="cellIs" dxfId="192" priority="134" operator="equal">
      <formula>$AH$15</formula>
    </cfRule>
  </conditionalFormatting>
  <conditionalFormatting sqref="F16:AF16">
    <cfRule type="cellIs" dxfId="191" priority="133" operator="equal">
      <formula>$AH$16</formula>
    </cfRule>
  </conditionalFormatting>
  <conditionalFormatting sqref="F17:AF17">
    <cfRule type="cellIs" dxfId="190" priority="132" operator="equal">
      <formula>$AH$17</formula>
    </cfRule>
  </conditionalFormatting>
  <conditionalFormatting sqref="F18:AF18">
    <cfRule type="cellIs" dxfId="189" priority="131" operator="equal">
      <formula>$AH$18</formula>
    </cfRule>
  </conditionalFormatting>
  <conditionalFormatting sqref="F19:AF19">
    <cfRule type="cellIs" dxfId="188" priority="130" operator="equal">
      <formula>$AH$19</formula>
    </cfRule>
  </conditionalFormatting>
  <conditionalFormatting sqref="Q20:T20 F20:O20 V20:AF20">
    <cfRule type="cellIs" dxfId="187" priority="129" operator="equal">
      <formula>$AH$20</formula>
    </cfRule>
  </conditionalFormatting>
  <conditionalFormatting sqref="F21:AF21">
    <cfRule type="cellIs" dxfId="186" priority="128" operator="equal">
      <formula>$AH$21</formula>
    </cfRule>
  </conditionalFormatting>
  <conditionalFormatting sqref="F22:AF22">
    <cfRule type="cellIs" dxfId="185" priority="127" operator="equal">
      <formula>$AH$22</formula>
    </cfRule>
  </conditionalFormatting>
  <conditionalFormatting sqref="F23:AF23">
    <cfRule type="cellIs" dxfId="184" priority="126" operator="equal">
      <formula>$AH$23</formula>
    </cfRule>
  </conditionalFormatting>
  <conditionalFormatting sqref="F24:AF24">
    <cfRule type="cellIs" dxfId="183" priority="125" operator="equal">
      <formula>$AH$24</formula>
    </cfRule>
  </conditionalFormatting>
  <conditionalFormatting sqref="F25:AF25">
    <cfRule type="cellIs" dxfId="182" priority="124" operator="equal">
      <formula>$AH$25</formula>
    </cfRule>
  </conditionalFormatting>
  <conditionalFormatting sqref="F26:AF26">
    <cfRule type="cellIs" dxfId="181" priority="123" operator="equal">
      <formula>$AH$26</formula>
    </cfRule>
  </conditionalFormatting>
  <conditionalFormatting sqref="F27:AF27">
    <cfRule type="cellIs" dxfId="180" priority="122" operator="equal">
      <formula>$AH$27</formula>
    </cfRule>
  </conditionalFormatting>
  <conditionalFormatting sqref="F28:AF28">
    <cfRule type="cellIs" dxfId="179" priority="121" operator="equal">
      <formula>$AH$28</formula>
    </cfRule>
  </conditionalFormatting>
  <conditionalFormatting sqref="F29:AF29">
    <cfRule type="cellIs" dxfId="178" priority="120" operator="equal">
      <formula>$AH$29</formula>
    </cfRule>
  </conditionalFormatting>
  <conditionalFormatting sqref="F30:AF30">
    <cfRule type="cellIs" dxfId="177" priority="119" operator="equal">
      <formula>$AH$30</formula>
    </cfRule>
  </conditionalFormatting>
  <conditionalFormatting sqref="F31:AF31">
    <cfRule type="cellIs" dxfId="176" priority="118" operator="equal">
      <formula>$AH$31</formula>
    </cfRule>
  </conditionalFormatting>
  <conditionalFormatting sqref="Q32:T32 F32:O32 V32:AF32">
    <cfRule type="cellIs" dxfId="175" priority="117" operator="equal">
      <formula>$AH$32</formula>
    </cfRule>
  </conditionalFormatting>
  <conditionalFormatting sqref="Q33:T33 F33:O33 V33:AF33">
    <cfRule type="cellIs" dxfId="174" priority="116" operator="equal">
      <formula>$AH$33</formula>
    </cfRule>
  </conditionalFormatting>
  <conditionalFormatting sqref="F34:AF34">
    <cfRule type="cellIs" dxfId="173" priority="115" operator="equal">
      <formula>$AH$34</formula>
    </cfRule>
  </conditionalFormatting>
  <conditionalFormatting sqref="F35:AF35">
    <cfRule type="cellIs" dxfId="172" priority="114" operator="equal">
      <formula>$AH$35</formula>
    </cfRule>
  </conditionalFormatting>
  <conditionalFormatting sqref="F36:AF36">
    <cfRule type="cellIs" dxfId="171" priority="113" operator="equal">
      <formula>$AH$36</formula>
    </cfRule>
  </conditionalFormatting>
  <conditionalFormatting sqref="F37:AF37">
    <cfRule type="cellIs" dxfId="170" priority="112" operator="equal">
      <formula>$AH$37</formula>
    </cfRule>
  </conditionalFormatting>
  <conditionalFormatting sqref="F38:AF38">
    <cfRule type="cellIs" dxfId="169" priority="111" operator="equal">
      <formula>$AH$38</formula>
    </cfRule>
  </conditionalFormatting>
  <conditionalFormatting sqref="Q39:T39 F39:O39 V39:AF39">
    <cfRule type="cellIs" dxfId="168" priority="110" operator="equal">
      <formula>$AH$39</formula>
    </cfRule>
  </conditionalFormatting>
  <conditionalFormatting sqref="F40:AF40">
    <cfRule type="cellIs" dxfId="167" priority="109" operator="equal">
      <formula>$AH$40</formula>
    </cfRule>
  </conditionalFormatting>
  <conditionalFormatting sqref="Q41:T41 F41:O41 V41:AF41">
    <cfRule type="cellIs" dxfId="166" priority="108" operator="equal">
      <formula>$AH$41</formula>
    </cfRule>
  </conditionalFormatting>
  <conditionalFormatting sqref="F42:AF42">
    <cfRule type="cellIs" dxfId="165" priority="107" operator="equal">
      <formula>$AH$42</formula>
    </cfRule>
  </conditionalFormatting>
  <conditionalFormatting sqref="Q43:T43 F43:O43 V43:AF43">
    <cfRule type="cellIs" dxfId="164" priority="106" operator="equal">
      <formula>$AH$43</formula>
    </cfRule>
  </conditionalFormatting>
  <conditionalFormatting sqref="F44:AF44">
    <cfRule type="cellIs" dxfId="163" priority="105" operator="equal">
      <formula>$AH$44</formula>
    </cfRule>
  </conditionalFormatting>
  <conditionalFormatting sqref="Q45:T45 F45:O45 V45:AF45">
    <cfRule type="cellIs" dxfId="162" priority="104" operator="equal">
      <formula>$AH$45</formula>
    </cfRule>
  </conditionalFormatting>
  <conditionalFormatting sqref="Q46:T46 F46:O46 V46:AF46">
    <cfRule type="cellIs" dxfId="161" priority="103" operator="equal">
      <formula>$AH$46</formula>
    </cfRule>
  </conditionalFormatting>
  <conditionalFormatting sqref="F47:AF47">
    <cfRule type="cellIs" dxfId="160" priority="102" operator="equal">
      <formula>$AH$47</formula>
    </cfRule>
  </conditionalFormatting>
  <conditionalFormatting sqref="F48:AF48">
    <cfRule type="cellIs" dxfId="159" priority="101" operator="equal">
      <formula>$AH$48</formula>
    </cfRule>
  </conditionalFormatting>
  <conditionalFormatting sqref="Q49:T49 F49:O49 V49:AF49">
    <cfRule type="cellIs" dxfId="158" priority="100" operator="equal">
      <formula>$AH$49</formula>
    </cfRule>
  </conditionalFormatting>
  <conditionalFormatting sqref="F50:AF50">
    <cfRule type="cellIs" dxfId="157" priority="99" operator="equal">
      <formula>$AH$50</formula>
    </cfRule>
  </conditionalFormatting>
  <conditionalFormatting sqref="F51:AF51">
    <cfRule type="cellIs" dxfId="156" priority="98" operator="equal">
      <formula>$AH$51</formula>
    </cfRule>
  </conditionalFormatting>
  <conditionalFormatting sqref="F52:AF52">
    <cfRule type="cellIs" dxfId="155" priority="97" operator="equal">
      <formula>$AH$52</formula>
    </cfRule>
  </conditionalFormatting>
  <conditionalFormatting sqref="Q53:T53 F53:O53 V53:AF53">
    <cfRule type="cellIs" dxfId="154" priority="96" operator="equal">
      <formula>$AH$53</formula>
    </cfRule>
  </conditionalFormatting>
  <conditionalFormatting sqref="F54:AF54">
    <cfRule type="cellIs" dxfId="153" priority="95" operator="equal">
      <formula>$AH$54</formula>
    </cfRule>
  </conditionalFormatting>
  <conditionalFormatting sqref="F55:AF55">
    <cfRule type="cellIs" dxfId="152" priority="94" operator="equal">
      <formula>$AH$55</formula>
    </cfRule>
  </conditionalFormatting>
  <conditionalFormatting sqref="F3:AF3">
    <cfRule type="cellIs" dxfId="151" priority="54" operator="equal">
      <formula>$AH$3</formula>
    </cfRule>
  </conditionalFormatting>
  <conditionalFormatting sqref="F4:AF4">
    <cfRule type="cellIs" dxfId="150" priority="159" operator="equal">
      <formula>$AH$4</formula>
    </cfRule>
  </conditionalFormatting>
  <conditionalFormatting sqref="F5:AF5">
    <cfRule type="cellIs" dxfId="149" priority="161" operator="equal">
      <formula>$AH$5</formula>
    </cfRule>
  </conditionalFormatting>
  <conditionalFormatting sqref="V56:AF56 F56:T56">
    <cfRule type="cellIs" dxfId="148" priority="263" operator="equal">
      <formula>$AH$56</formula>
    </cfRule>
  </conditionalFormatting>
  <conditionalFormatting sqref="V57:AF57 F57:T57">
    <cfRule type="cellIs" dxfId="147" priority="265" operator="equal">
      <formula>$AH$57</formula>
    </cfRule>
  </conditionalFormatting>
  <conditionalFormatting sqref="V58:AF58 F58:T58">
    <cfRule type="cellIs" dxfId="146" priority="267" operator="equal">
      <formula>$AH$58</formula>
    </cfRule>
  </conditionalFormatting>
  <conditionalFormatting sqref="V59:AF59 F59:T59">
    <cfRule type="cellIs" dxfId="145" priority="269" operator="equal">
      <formula>$AH$59</formula>
    </cfRule>
  </conditionalFormatting>
  <conditionalFormatting sqref="V60:AF60 F60:T60">
    <cfRule type="cellIs" dxfId="144" priority="271" operator="equal">
      <formula>$AH$60</formula>
    </cfRule>
  </conditionalFormatting>
  <conditionalFormatting sqref="V61:AF61 F61:T61">
    <cfRule type="cellIs" dxfId="143" priority="273" operator="equal">
      <formula>$AH$61</formula>
    </cfRule>
  </conditionalFormatting>
  <conditionalFormatting sqref="V62:AF62 F62:T62">
    <cfRule type="cellIs" dxfId="142" priority="275" operator="equal">
      <formula>$AH$62</formula>
    </cfRule>
  </conditionalFormatting>
  <conditionalFormatting sqref="V63:AF63 F63:T63">
    <cfRule type="cellIs" dxfId="141" priority="277" operator="equal">
      <formula>$AH$63</formula>
    </cfRule>
  </conditionalFormatting>
  <conditionalFormatting sqref="V64:AF64 F64:T64">
    <cfRule type="cellIs" dxfId="140" priority="279" operator="equal">
      <formula>$AH$64</formula>
    </cfRule>
  </conditionalFormatting>
  <conditionalFormatting sqref="V65:AF65 F65:T65">
    <cfRule type="cellIs" dxfId="139" priority="281" operator="equal">
      <formula>$AH$65</formula>
    </cfRule>
  </conditionalFormatting>
  <conditionalFormatting sqref="V66:AF66 F66:T66">
    <cfRule type="cellIs" dxfId="138" priority="283" operator="equal">
      <formula>$AH$66</formula>
    </cfRule>
  </conditionalFormatting>
  <conditionalFormatting sqref="V67:AF67 F67:T67">
    <cfRule type="cellIs" dxfId="137" priority="285" operator="equal">
      <formula>$AH$67</formula>
    </cfRule>
  </conditionalFormatting>
  <conditionalFormatting sqref="V68:AF68 F68:T68">
    <cfRule type="cellIs" dxfId="136" priority="287" operator="equal">
      <formula>$AH$68</formula>
    </cfRule>
  </conditionalFormatting>
  <conditionalFormatting sqref="V69:AF69 F69:T69">
    <cfRule type="cellIs" dxfId="135" priority="289" operator="equal">
      <formula>$AH$69</formula>
    </cfRule>
  </conditionalFormatting>
  <conditionalFormatting sqref="V70:AF70 F70:T70">
    <cfRule type="cellIs" dxfId="134" priority="291" operator="equal">
      <formula>$AH$70</formula>
    </cfRule>
  </conditionalFormatting>
  <conditionalFormatting sqref="V71:AF71 F71:T71">
    <cfRule type="cellIs" dxfId="133" priority="293" operator="equal">
      <formula>$AH$71</formula>
    </cfRule>
  </conditionalFormatting>
  <conditionalFormatting sqref="V72:AF72 F72:T72">
    <cfRule type="cellIs" dxfId="132" priority="295" operator="equal">
      <formula>$AH$72</formula>
    </cfRule>
  </conditionalFormatting>
  <conditionalFormatting sqref="V73:AF73 F73:T73">
    <cfRule type="cellIs" dxfId="131" priority="297" operator="equal">
      <formula>$AH$73</formula>
    </cfRule>
  </conditionalFormatting>
  <conditionalFormatting sqref="V74:AF74 F74:T74">
    <cfRule type="cellIs" dxfId="130" priority="299" operator="equal">
      <formula>$AH$74</formula>
    </cfRule>
  </conditionalFormatting>
  <conditionalFormatting sqref="V75:AF75 F75:T75">
    <cfRule type="cellIs" dxfId="129" priority="301" operator="equal">
      <formula>$AH$75</formula>
    </cfRule>
  </conditionalFormatting>
  <conditionalFormatting sqref="V76:AF76 F76:T76">
    <cfRule type="cellIs" dxfId="128" priority="303" operator="equal">
      <formula>$AH$76</formula>
    </cfRule>
  </conditionalFormatting>
  <conditionalFormatting sqref="V77:AF77 F77:T77">
    <cfRule type="cellIs" dxfId="127" priority="305" operator="equal">
      <formula>$AH$77</formula>
    </cfRule>
  </conditionalFormatting>
  <conditionalFormatting sqref="V78:AF78 F78:T78">
    <cfRule type="cellIs" dxfId="126" priority="307" operator="equal">
      <formula>$AH$78</formula>
    </cfRule>
  </conditionalFormatting>
  <conditionalFormatting sqref="V79:AF79 F79:T79">
    <cfRule type="cellIs" dxfId="125" priority="309" operator="equal">
      <formula>$AH$79</formula>
    </cfRule>
  </conditionalFormatting>
  <conditionalFormatting sqref="V80:AF80 F80:T80">
    <cfRule type="cellIs" dxfId="124" priority="311" operator="equal">
      <formula>$AH$80</formula>
    </cfRule>
  </conditionalFormatting>
  <conditionalFormatting sqref="V81:AF81 F81:T81">
    <cfRule type="cellIs" dxfId="123" priority="313" operator="equal">
      <formula>$AH$81</formula>
    </cfRule>
  </conditionalFormatting>
  <conditionalFormatting sqref="V82:AF82 F82:T82">
    <cfRule type="cellIs" dxfId="122" priority="315" operator="equal">
      <formula>$AH$82</formula>
    </cfRule>
  </conditionalFormatting>
  <conditionalFormatting sqref="V83:AF83 F83:T83">
    <cfRule type="cellIs" dxfId="121" priority="317" operator="equal">
      <formula>$AH$83</formula>
    </cfRule>
  </conditionalFormatting>
  <conditionalFormatting sqref="V84:AF84 F84:T84">
    <cfRule type="cellIs" dxfId="120" priority="319" operator="equal">
      <formula>$AH$84</formula>
    </cfRule>
  </conditionalFormatting>
  <conditionalFormatting sqref="V85:AF85 F85:T85">
    <cfRule type="cellIs" dxfId="119" priority="321" operator="equal">
      <formula>$AH$85</formula>
    </cfRule>
  </conditionalFormatting>
  <conditionalFormatting sqref="F86:AF86">
    <cfRule type="cellIs" dxfId="118" priority="323" operator="equal">
      <formula>$AH$86</formula>
    </cfRule>
  </conditionalFormatting>
  <conditionalFormatting sqref="V87:AF87 F87:T87">
    <cfRule type="cellIs" dxfId="117" priority="325" operator="equal">
      <formula>$AH$87</formula>
    </cfRule>
  </conditionalFormatting>
  <conditionalFormatting sqref="V88:AF88 F88:T88">
    <cfRule type="cellIs" dxfId="116" priority="327" operator="equal">
      <formula>$AH$88</formula>
    </cfRule>
  </conditionalFormatting>
  <conditionalFormatting sqref="V89:AF89 F89:T89">
    <cfRule type="cellIs" dxfId="115" priority="329" operator="equal">
      <formula>$AH$89</formula>
    </cfRule>
  </conditionalFormatting>
  <conditionalFormatting sqref="F90:AF90">
    <cfRule type="cellIs" dxfId="114" priority="331" operator="equal">
      <formula>$AH$90</formula>
    </cfRule>
  </conditionalFormatting>
  <conditionalFormatting sqref="V91:AF91 F91:T91">
    <cfRule type="cellIs" dxfId="113" priority="333" operator="equal">
      <formula>$AH$91</formula>
    </cfRule>
  </conditionalFormatting>
  <conditionalFormatting sqref="V92:AF92 F92:T92">
    <cfRule type="cellIs" dxfId="112" priority="335" operator="equal">
      <formula>$AH$92</formula>
    </cfRule>
  </conditionalFormatting>
  <conditionalFormatting sqref="V93:AF93 F93:T93">
    <cfRule type="cellIs" dxfId="111" priority="337" operator="equal">
      <formula>$AH$93</formula>
    </cfRule>
  </conditionalFormatting>
  <conditionalFormatting sqref="V94:AF94 F94:T94">
    <cfRule type="cellIs" dxfId="110" priority="339" operator="equal">
      <formula>$AH$94</formula>
    </cfRule>
  </conditionalFormatting>
  <conditionalFormatting sqref="U3:U95">
    <cfRule type="cellIs" dxfId="109" priority="52" operator="greaterThan">
      <formula>400000</formula>
    </cfRule>
  </conditionalFormatting>
  <conditionalFormatting sqref="U3:U95">
    <cfRule type="cellIs" dxfId="108" priority="50" operator="equal">
      <formula>$AH$3</formula>
    </cfRule>
  </conditionalFormatting>
  <conditionalFormatting sqref="F12:AF12">
    <cfRule type="cellIs" dxfId="107" priority="598" operator="equal">
      <formula>$AH$12</formula>
    </cfRule>
    <cfRule type="cellIs" dxfId="106" priority="599" operator="equal">
      <formula>4432</formula>
    </cfRule>
  </conditionalFormatting>
  <conditionalFormatting sqref="F13:AF13">
    <cfRule type="cellIs" dxfId="105" priority="5" operator="equal">
      <formula>$AH$13</formula>
    </cfRule>
  </conditionalFormatting>
  <conditionalFormatting sqref="F33:AF33">
    <cfRule type="cellIs" dxfId="104" priority="4" operator="equal">
      <formula>$AH$33</formula>
    </cfRule>
  </conditionalFormatting>
  <conditionalFormatting sqref="F15:AF15">
    <cfRule type="cellIs" dxfId="103" priority="3" operator="equal">
      <formula>$AH$15</formula>
    </cfRule>
  </conditionalFormatting>
  <conditionalFormatting sqref="F7:AF7">
    <cfRule type="cellIs" dxfId="102" priority="2" operator="equal">
      <formula>$AH$7</formula>
    </cfRule>
  </conditionalFormatting>
  <conditionalFormatting sqref="A3:C94">
    <cfRule type="cellIs" dxfId="101" priority="1" operator="equal">
      <formula>$AH$66</formula>
    </cfRule>
  </conditionalFormatting>
  <pageMargins left="0.7" right="0.7" top="0.75" bottom="0.75" header="0.3" footer="0.3"/>
  <pageSetup orientation="portrait" r:id="rId1"/>
  <ignoredErrors>
    <ignoredError sqref="AU3:AU8 AV95:AW95 AJ95 AK95:AR95 AT95 AJ3:AJ94 AU12 AU15 AU18:AU52 AU55:AU56 AU59:AU60 AU62:AU95" calculatedColumn="1"/>
    <ignoredError sqref="BB95" formula="1"/>
  </ignoredErrors>
  <tableParts count="4">
    <tablePart r:id="rId2"/>
    <tablePart r:id="rId3"/>
    <tablePart r:id="rId4"/>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444E5-7795-42BA-B8F4-BD581C71BD7A}">
  <sheetPr>
    <tabColor theme="4" tint="-0.249977111117893"/>
  </sheetPr>
  <dimension ref="A1:AF95"/>
  <sheetViews>
    <sheetView showGridLines="0" zoomScaleNormal="100" workbookViewId="0">
      <pane xSplit="2" ySplit="2" topLeftCell="V84" activePane="bottomRight" state="frozen"/>
      <selection pane="topRight" activeCell="C1" sqref="C1"/>
      <selection pane="bottomLeft" activeCell="A3" sqref="A3"/>
      <selection pane="bottomRight" activeCell="AB97" sqref="AB97"/>
    </sheetView>
  </sheetViews>
  <sheetFormatPr defaultColWidth="15.5703125" defaultRowHeight="12.75" x14ac:dyDescent="0.2"/>
  <cols>
    <col min="1" max="1" width="21.5703125" style="2" customWidth="1"/>
    <col min="2" max="2" width="20.85546875" style="2" customWidth="1"/>
    <col min="3" max="3" width="10.42578125" style="2" customWidth="1"/>
    <col min="4" max="4" width="8.5703125" style="4" customWidth="1"/>
    <col min="5" max="5" width="10.85546875" style="4" customWidth="1"/>
    <col min="6" max="6" width="10.7109375" style="4" customWidth="1"/>
    <col min="7" max="7" width="10.42578125" style="4" customWidth="1"/>
    <col min="8" max="8" width="11.5703125" style="4" customWidth="1"/>
    <col min="9" max="9" width="10.5703125" style="4" customWidth="1"/>
    <col min="10" max="10" width="9.140625" style="4" customWidth="1"/>
    <col min="11" max="11" width="11.7109375" style="4" customWidth="1"/>
    <col min="12" max="12" width="10.5703125" style="4" customWidth="1"/>
    <col min="13" max="13" width="8.42578125" style="4" customWidth="1"/>
    <col min="14" max="14" width="9.5703125" style="4" customWidth="1"/>
    <col min="15" max="15" width="9.140625" style="4" customWidth="1"/>
    <col min="16" max="16" width="10.140625" style="4" customWidth="1"/>
    <col min="17" max="17" width="12.140625" style="4" customWidth="1"/>
    <col min="18" max="18" width="10.5703125" style="4" customWidth="1"/>
    <col min="19" max="19" width="7.5703125" style="4" customWidth="1"/>
    <col min="20" max="20" width="10.7109375" style="4" customWidth="1"/>
    <col min="21" max="21" width="9.5703125" style="4" customWidth="1"/>
    <col min="22" max="22" width="8.7109375" style="4" customWidth="1"/>
    <col min="23" max="24" width="9.140625" style="4" customWidth="1"/>
    <col min="25" max="25" width="8.140625" style="4" customWidth="1"/>
    <col min="26" max="26" width="11.28515625" style="4" customWidth="1"/>
    <col min="27" max="27" width="11.140625" style="4" customWidth="1"/>
    <col min="28" max="28" width="7.42578125" style="4" customWidth="1"/>
    <col min="29" max="29" width="11.140625" style="4" customWidth="1"/>
    <col min="30" max="30" width="10.85546875" style="4" customWidth="1"/>
    <col min="31" max="16384" width="15.5703125" style="4"/>
  </cols>
  <sheetData>
    <row r="1" spans="1:32" ht="19.5" customHeight="1" x14ac:dyDescent="0.25">
      <c r="D1" s="339" t="s">
        <v>261</v>
      </c>
      <c r="E1" s="340"/>
      <c r="F1" s="341"/>
      <c r="G1" s="344" t="s">
        <v>254</v>
      </c>
      <c r="H1" s="345"/>
      <c r="I1" s="346"/>
      <c r="J1" s="339" t="s">
        <v>218</v>
      </c>
      <c r="K1" s="340"/>
      <c r="L1" s="341"/>
      <c r="M1" s="344" t="s">
        <v>285</v>
      </c>
      <c r="N1" s="345"/>
      <c r="O1" s="346"/>
      <c r="P1" s="339" t="s">
        <v>286</v>
      </c>
      <c r="Q1" s="340"/>
      <c r="R1" s="341"/>
      <c r="S1" s="344" t="s">
        <v>287</v>
      </c>
      <c r="T1" s="345"/>
      <c r="U1" s="346"/>
      <c r="V1" s="339" t="s">
        <v>201</v>
      </c>
      <c r="W1" s="340"/>
      <c r="X1" s="341"/>
      <c r="Y1" s="344" t="s">
        <v>239</v>
      </c>
      <c r="Z1" s="345"/>
      <c r="AA1" s="346"/>
      <c r="AB1" s="342" t="s">
        <v>270</v>
      </c>
      <c r="AC1" s="343"/>
      <c r="AD1" s="343"/>
    </row>
    <row r="2" spans="1:32" s="1" customFormat="1" ht="41.45" customHeight="1" x14ac:dyDescent="0.25">
      <c r="A2" s="7" t="s">
        <v>0</v>
      </c>
      <c r="B2" s="7" t="s">
        <v>1</v>
      </c>
      <c r="C2" s="222" t="s">
        <v>519</v>
      </c>
      <c r="D2" s="48" t="s">
        <v>523</v>
      </c>
      <c r="E2" s="48" t="s">
        <v>524</v>
      </c>
      <c r="F2" s="48" t="s">
        <v>525</v>
      </c>
      <c r="G2" s="48" t="s">
        <v>521</v>
      </c>
      <c r="H2" s="48" t="s">
        <v>522</v>
      </c>
      <c r="I2" s="48" t="s">
        <v>491</v>
      </c>
      <c r="J2" s="48" t="s">
        <v>526</v>
      </c>
      <c r="K2" s="48" t="s">
        <v>527</v>
      </c>
      <c r="L2" s="48" t="s">
        <v>528</v>
      </c>
      <c r="M2" s="48" t="s">
        <v>529</v>
      </c>
      <c r="N2" s="48" t="s">
        <v>530</v>
      </c>
      <c r="O2" s="48" t="s">
        <v>531</v>
      </c>
      <c r="P2" s="48" t="s">
        <v>532</v>
      </c>
      <c r="Q2" s="48" t="s">
        <v>533</v>
      </c>
      <c r="R2" s="48" t="s">
        <v>534</v>
      </c>
      <c r="S2" s="48" t="s">
        <v>288</v>
      </c>
      <c r="T2" s="48" t="s">
        <v>289</v>
      </c>
      <c r="U2" s="48" t="s">
        <v>520</v>
      </c>
      <c r="V2" s="48" t="s">
        <v>290</v>
      </c>
      <c r="W2" s="48" t="s">
        <v>291</v>
      </c>
      <c r="X2" s="48" t="s">
        <v>482</v>
      </c>
      <c r="Y2" s="48" t="s">
        <v>292</v>
      </c>
      <c r="Z2" s="48" t="s">
        <v>293</v>
      </c>
      <c r="AA2" s="48" t="s">
        <v>505</v>
      </c>
      <c r="AB2" s="226" t="s">
        <v>535</v>
      </c>
      <c r="AC2" s="226" t="s">
        <v>536</v>
      </c>
      <c r="AD2" s="226" t="s">
        <v>537</v>
      </c>
      <c r="AE2" s="316" t="s">
        <v>639</v>
      </c>
      <c r="AF2" s="316" t="s">
        <v>637</v>
      </c>
    </row>
    <row r="3" spans="1:32" x14ac:dyDescent="0.2">
      <c r="A3" s="3" t="s">
        <v>5</v>
      </c>
      <c r="B3" s="3" t="s">
        <v>5</v>
      </c>
      <c r="C3" s="223" t="s">
        <v>517</v>
      </c>
      <c r="D3" s="50">
        <v>3</v>
      </c>
      <c r="E3" s="55">
        <v>333183.10168759403</v>
      </c>
      <c r="F3" s="55">
        <v>171750</v>
      </c>
      <c r="G3" s="50">
        <v>4</v>
      </c>
      <c r="H3" s="54">
        <v>100711</v>
      </c>
      <c r="I3" s="54"/>
      <c r="J3" s="53" t="s">
        <v>399</v>
      </c>
      <c r="K3" s="54">
        <v>80458.776400000002</v>
      </c>
      <c r="L3" s="54"/>
      <c r="M3" s="53"/>
      <c r="N3" s="54"/>
      <c r="O3" s="54"/>
      <c r="P3" s="56">
        <v>3</v>
      </c>
      <c r="Q3" s="54">
        <v>111084.40962720002</v>
      </c>
      <c r="R3" s="54">
        <v>0</v>
      </c>
      <c r="S3" s="56">
        <v>3</v>
      </c>
      <c r="T3" s="54">
        <v>55750.92190870014</v>
      </c>
      <c r="U3" s="54">
        <v>6690.1106290440166</v>
      </c>
      <c r="V3" s="53"/>
      <c r="W3" s="53"/>
      <c r="X3" s="53"/>
      <c r="Y3" s="53">
        <v>3</v>
      </c>
      <c r="Z3" s="54">
        <v>76336.600000000006</v>
      </c>
      <c r="AA3" s="54">
        <v>53435.62</v>
      </c>
      <c r="AB3" s="53">
        <v>4</v>
      </c>
      <c r="AC3" s="55">
        <v>458019.6</v>
      </c>
      <c r="AD3" s="55">
        <v>297712.74</v>
      </c>
      <c r="AE3" s="317">
        <f>MAX(Table1345[[#This Row],[Protection/GBV PiN]],Table1345[[#This Row],[CP_PiN]])</f>
        <v>111084.40962720002</v>
      </c>
      <c r="AF3" s="317">
        <f>MAX(Table1345[[#This Row],[Protection/GBV Target]],Table1345[[#This Row],[CP_Target]])</f>
        <v>6690.1106290440166</v>
      </c>
    </row>
    <row r="4" spans="1:32" x14ac:dyDescent="0.2">
      <c r="A4" s="3" t="s">
        <v>104</v>
      </c>
      <c r="B4" s="3" t="s">
        <v>104</v>
      </c>
      <c r="C4" s="223" t="s">
        <v>517</v>
      </c>
      <c r="D4" s="50">
        <v>3</v>
      </c>
      <c r="E4" s="55">
        <v>451.94184201219275</v>
      </c>
      <c r="F4" s="55"/>
      <c r="G4" s="50"/>
      <c r="H4" s="55">
        <v>0</v>
      </c>
      <c r="I4" s="55"/>
      <c r="J4" s="50" t="s">
        <v>399</v>
      </c>
      <c r="K4" s="55">
        <v>114.93581403392679</v>
      </c>
      <c r="L4" s="55"/>
      <c r="M4" s="53"/>
      <c r="N4" s="55"/>
      <c r="O4" s="55"/>
      <c r="P4" s="57">
        <v>3.5</v>
      </c>
      <c r="Q4" s="55">
        <v>134.72734702745535</v>
      </c>
      <c r="R4" s="55">
        <v>0</v>
      </c>
      <c r="S4" s="57"/>
      <c r="T4" s="55"/>
      <c r="U4" s="55">
        <v>0</v>
      </c>
      <c r="V4" s="50"/>
      <c r="W4" s="50"/>
      <c r="X4" s="50"/>
      <c r="Y4" s="50">
        <v>2</v>
      </c>
      <c r="Z4" s="55">
        <v>0</v>
      </c>
      <c r="AA4" s="55">
        <v>0</v>
      </c>
      <c r="AB4" s="53">
        <v>3</v>
      </c>
      <c r="AC4" s="55" t="s">
        <v>471</v>
      </c>
      <c r="AD4" s="55" t="s">
        <v>471</v>
      </c>
      <c r="AE4" s="317">
        <f>MAX(Table1345[[#This Row],[Protection/GBV PiN]],Table1345[[#This Row],[CP_PiN]])</f>
        <v>134.72734702745535</v>
      </c>
      <c r="AF4" s="317">
        <f>MAX(Table1345[[#This Row],[Protection/GBV Target]],Table1345[[#This Row],[CP_Target]])</f>
        <v>0</v>
      </c>
    </row>
    <row r="5" spans="1:32" x14ac:dyDescent="0.2">
      <c r="A5" s="3" t="s">
        <v>84</v>
      </c>
      <c r="B5" s="3" t="s">
        <v>85</v>
      </c>
      <c r="C5" s="223" t="s">
        <v>517</v>
      </c>
      <c r="D5" s="50">
        <v>3</v>
      </c>
      <c r="E5" s="55">
        <v>206218.35093641083</v>
      </c>
      <c r="F5" s="55">
        <v>89200</v>
      </c>
      <c r="G5" s="50">
        <v>5</v>
      </c>
      <c r="H5" s="55">
        <v>64331.195153758483</v>
      </c>
      <c r="I5" s="55">
        <v>64331.195153758483</v>
      </c>
      <c r="J5" s="50" t="s">
        <v>399</v>
      </c>
      <c r="K5" s="55">
        <v>49420.694032868429</v>
      </c>
      <c r="L5" s="55"/>
      <c r="M5" s="53"/>
      <c r="N5" s="55"/>
      <c r="O5" s="55"/>
      <c r="P5" s="57">
        <v>3</v>
      </c>
      <c r="Q5" s="55">
        <v>63762.3337551562</v>
      </c>
      <c r="R5" s="55">
        <v>20900</v>
      </c>
      <c r="S5" s="57">
        <v>4</v>
      </c>
      <c r="T5" s="55">
        <v>52608.31322210317</v>
      </c>
      <c r="U5" s="55">
        <v>6312.9975866523801</v>
      </c>
      <c r="V5" s="50"/>
      <c r="W5" s="50"/>
      <c r="X5" s="50"/>
      <c r="Y5" s="50">
        <v>3</v>
      </c>
      <c r="Z5" s="55">
        <v>61421.512660352724</v>
      </c>
      <c r="AA5" s="55">
        <v>42995.058862246908</v>
      </c>
      <c r="AB5" s="53">
        <v>3</v>
      </c>
      <c r="AC5" s="55">
        <v>141741.95229312166</v>
      </c>
      <c r="AD5" s="55">
        <v>92132.26899052909</v>
      </c>
      <c r="AE5" s="317">
        <f>MAX(Table1345[[#This Row],[Protection/GBV PiN]],Table1345[[#This Row],[CP_PiN]])</f>
        <v>63762.3337551562</v>
      </c>
      <c r="AF5" s="317">
        <f>MAX(Table1345[[#This Row],[Protection/GBV Target]],Table1345[[#This Row],[CP_Target]])</f>
        <v>20900</v>
      </c>
    </row>
    <row r="6" spans="1:32" x14ac:dyDescent="0.2">
      <c r="A6" s="3" t="s">
        <v>84</v>
      </c>
      <c r="B6" s="3" t="s">
        <v>86</v>
      </c>
      <c r="C6" s="223" t="s">
        <v>517</v>
      </c>
      <c r="D6" s="50">
        <v>3</v>
      </c>
      <c r="E6" s="55">
        <v>96776.531455311138</v>
      </c>
      <c r="F6" s="55">
        <v>70600</v>
      </c>
      <c r="G6" s="50"/>
      <c r="H6" s="55">
        <v>0</v>
      </c>
      <c r="I6" s="55"/>
      <c r="J6" s="50" t="s">
        <v>399</v>
      </c>
      <c r="K6" s="55">
        <v>24789.153804758633</v>
      </c>
      <c r="L6" s="55"/>
      <c r="M6" s="53"/>
      <c r="N6" s="55"/>
      <c r="O6" s="55"/>
      <c r="P6" s="57">
        <v>3</v>
      </c>
      <c r="Q6" s="55">
        <v>29923.125028881197</v>
      </c>
      <c r="R6" s="55">
        <v>15919</v>
      </c>
      <c r="S6" s="57"/>
      <c r="T6" s="55"/>
      <c r="U6" s="55">
        <v>0</v>
      </c>
      <c r="V6" s="50"/>
      <c r="W6" s="50"/>
      <c r="X6" s="50"/>
      <c r="Y6" s="50">
        <v>3</v>
      </c>
      <c r="Z6" s="55">
        <v>55431.918168064913</v>
      </c>
      <c r="AA6" s="55">
        <v>38802.342717645435</v>
      </c>
      <c r="AB6" s="53">
        <v>3</v>
      </c>
      <c r="AC6" s="55">
        <v>110863.83633612983</v>
      </c>
      <c r="AD6" s="55">
        <v>72061.493618484383</v>
      </c>
      <c r="AE6" s="317">
        <f>MAX(Table1345[[#This Row],[Protection/GBV PiN]],Table1345[[#This Row],[CP_PiN]])</f>
        <v>29923.125028881197</v>
      </c>
      <c r="AF6" s="317">
        <f>MAX(Table1345[[#This Row],[Protection/GBV Target]],Table1345[[#This Row],[CP_Target]])</f>
        <v>15919</v>
      </c>
    </row>
    <row r="7" spans="1:32" x14ac:dyDescent="0.2">
      <c r="A7" s="3" t="s">
        <v>84</v>
      </c>
      <c r="B7" s="3" t="s">
        <v>84</v>
      </c>
      <c r="C7" s="223" t="s">
        <v>517</v>
      </c>
      <c r="D7" s="50">
        <v>3</v>
      </c>
      <c r="E7" s="55">
        <v>858317.13815613836</v>
      </c>
      <c r="F7" s="55">
        <v>275791</v>
      </c>
      <c r="G7" s="50">
        <v>5</v>
      </c>
      <c r="H7" s="55">
        <v>308205.79945300322</v>
      </c>
      <c r="I7" s="55">
        <v>308205.79945300322</v>
      </c>
      <c r="J7" s="50" t="s">
        <v>402</v>
      </c>
      <c r="K7" s="55">
        <v>205697.64269457239</v>
      </c>
      <c r="L7" s="55">
        <v>205697.64269457239</v>
      </c>
      <c r="M7" s="53"/>
      <c r="N7" s="55"/>
      <c r="O7" s="55"/>
      <c r="P7" s="57">
        <v>3</v>
      </c>
      <c r="Q7" s="55">
        <v>265390.07601587381</v>
      </c>
      <c r="R7" s="55">
        <v>119377</v>
      </c>
      <c r="S7" s="57">
        <v>4</v>
      </c>
      <c r="T7" s="55">
        <v>157109.96494422876</v>
      </c>
      <c r="U7" s="55">
        <v>18853.195793307452</v>
      </c>
      <c r="V7" s="50"/>
      <c r="W7" s="50"/>
      <c r="X7" s="50"/>
      <c r="Y7" s="50">
        <v>3</v>
      </c>
      <c r="Z7" s="55">
        <v>255647.16587279551</v>
      </c>
      <c r="AA7" s="55">
        <v>178953.01611095684</v>
      </c>
      <c r="AB7" s="53">
        <v>3</v>
      </c>
      <c r="AC7" s="225">
        <v>326205</v>
      </c>
      <c r="AD7" s="55">
        <v>212033.25</v>
      </c>
      <c r="AE7" s="317">
        <f>MAX(Table1345[[#This Row],[Protection/GBV PiN]],Table1345[[#This Row],[CP_PiN]])</f>
        <v>265390.07601587381</v>
      </c>
      <c r="AF7" s="317">
        <f>MAX(Table1345[[#This Row],[Protection/GBV Target]],Table1345[[#This Row],[CP_Target]])</f>
        <v>119377</v>
      </c>
    </row>
    <row r="8" spans="1:32" x14ac:dyDescent="0.2">
      <c r="A8" s="3" t="s">
        <v>84</v>
      </c>
      <c r="B8" s="3" t="s">
        <v>87</v>
      </c>
      <c r="C8" s="223" t="s">
        <v>517</v>
      </c>
      <c r="D8" s="50">
        <v>3</v>
      </c>
      <c r="E8" s="55">
        <v>65649.026028543129</v>
      </c>
      <c r="F8" s="55">
        <v>5000</v>
      </c>
      <c r="G8" s="50"/>
      <c r="H8" s="55">
        <v>0</v>
      </c>
      <c r="I8" s="55"/>
      <c r="J8" s="50" t="s">
        <v>399</v>
      </c>
      <c r="K8" s="55">
        <v>15732.937511040858</v>
      </c>
      <c r="L8" s="55"/>
      <c r="M8" s="53"/>
      <c r="N8" s="55"/>
      <c r="O8" s="55"/>
      <c r="P8" s="57">
        <v>3</v>
      </c>
      <c r="Q8" s="55">
        <v>20298.557763288834</v>
      </c>
      <c r="R8" s="55">
        <v>12676</v>
      </c>
      <c r="S8" s="57"/>
      <c r="T8" s="55"/>
      <c r="U8" s="55">
        <v>0</v>
      </c>
      <c r="V8" s="50"/>
      <c r="W8" s="50"/>
      <c r="X8" s="50"/>
      <c r="Y8" s="50">
        <v>3</v>
      </c>
      <c r="Z8" s="55">
        <v>19553.364019458044</v>
      </c>
      <c r="AA8" s="55">
        <v>13687.35481362063</v>
      </c>
      <c r="AB8" s="53">
        <v>4</v>
      </c>
      <c r="AC8" s="225">
        <v>45123.147737210871</v>
      </c>
      <c r="AD8" s="55">
        <v>29330.046029187066</v>
      </c>
      <c r="AE8" s="317">
        <f>MAX(Table1345[[#This Row],[Protection/GBV PiN]],Table1345[[#This Row],[CP_PiN]])</f>
        <v>20298.557763288834</v>
      </c>
      <c r="AF8" s="317">
        <f>MAX(Table1345[[#This Row],[Protection/GBV Target]],Table1345[[#This Row],[CP_Target]])</f>
        <v>12676</v>
      </c>
    </row>
    <row r="9" spans="1:32" x14ac:dyDescent="0.2">
      <c r="A9" s="3" t="s">
        <v>6</v>
      </c>
      <c r="B9" s="3" t="s">
        <v>7</v>
      </c>
      <c r="C9" s="223" t="s">
        <v>518</v>
      </c>
      <c r="D9" s="50">
        <v>3</v>
      </c>
      <c r="E9" s="55">
        <v>147902</v>
      </c>
      <c r="F9" s="55">
        <v>60490.282500999994</v>
      </c>
      <c r="G9" s="50">
        <v>3</v>
      </c>
      <c r="H9" s="55">
        <v>0</v>
      </c>
      <c r="I9" s="55"/>
      <c r="J9" s="50">
        <v>3</v>
      </c>
      <c r="K9" s="55">
        <v>66070.855228396453</v>
      </c>
      <c r="L9" s="55">
        <v>33035.427614198226</v>
      </c>
      <c r="M9" s="53">
        <v>5</v>
      </c>
      <c r="N9" s="55">
        <v>17845</v>
      </c>
      <c r="O9" s="55">
        <v>12395</v>
      </c>
      <c r="P9" s="57">
        <v>3.5</v>
      </c>
      <c r="Q9" s="55">
        <v>36309.899199317551</v>
      </c>
      <c r="R9" s="55">
        <v>23340</v>
      </c>
      <c r="S9" s="57">
        <v>2.6666666666666665</v>
      </c>
      <c r="T9" s="55">
        <v>36292.93693306666</v>
      </c>
      <c r="U9" s="55">
        <v>4355.1524319679993</v>
      </c>
      <c r="V9" s="50"/>
      <c r="W9" s="50"/>
      <c r="X9" s="50"/>
      <c r="Y9" s="50">
        <v>3</v>
      </c>
      <c r="Z9" s="55">
        <v>91924.668143855932</v>
      </c>
      <c r="AA9" s="55">
        <v>76412.380394580236</v>
      </c>
      <c r="AB9" s="53">
        <v>3</v>
      </c>
      <c r="AC9" s="225">
        <v>143632.29397477489</v>
      </c>
      <c r="AD9" s="55">
        <v>93360.991083603687</v>
      </c>
      <c r="AE9" s="317">
        <f>MAX(Table1345[[#This Row],[Protection/GBV PiN]],Table1345[[#This Row],[CP_PiN]])</f>
        <v>36309.899199317551</v>
      </c>
      <c r="AF9" s="317">
        <f>MAX(Table1345[[#This Row],[Protection/GBV Target]],Table1345[[#This Row],[CP_Target]])</f>
        <v>23340</v>
      </c>
    </row>
    <row r="10" spans="1:32" x14ac:dyDescent="0.2">
      <c r="A10" s="3" t="s">
        <v>6</v>
      </c>
      <c r="B10" s="3" t="s">
        <v>8</v>
      </c>
      <c r="C10" s="223" t="s">
        <v>518</v>
      </c>
      <c r="D10" s="50">
        <v>3</v>
      </c>
      <c r="E10" s="55">
        <v>59033</v>
      </c>
      <c r="F10" s="55">
        <v>59033</v>
      </c>
      <c r="G10" s="50">
        <v>3</v>
      </c>
      <c r="H10" s="55">
        <v>0</v>
      </c>
      <c r="I10" s="55"/>
      <c r="J10" s="50" t="s">
        <v>399</v>
      </c>
      <c r="K10" s="55">
        <v>17411.232877725655</v>
      </c>
      <c r="L10" s="55"/>
      <c r="M10" s="53">
        <v>4</v>
      </c>
      <c r="N10" s="55">
        <v>12080</v>
      </c>
      <c r="O10" s="55">
        <v>9000</v>
      </c>
      <c r="P10" s="57">
        <v>3.5</v>
      </c>
      <c r="Q10" s="55">
        <v>33261.697868005787</v>
      </c>
      <c r="R10" s="55">
        <v>16094.999999999998</v>
      </c>
      <c r="S10" s="57">
        <v>2</v>
      </c>
      <c r="T10" s="55"/>
      <c r="U10" s="55">
        <v>0</v>
      </c>
      <c r="V10" s="50">
        <v>3</v>
      </c>
      <c r="W10" s="50">
        <v>732</v>
      </c>
      <c r="X10" s="50">
        <v>732</v>
      </c>
      <c r="Y10" s="50">
        <v>2</v>
      </c>
      <c r="Z10" s="55"/>
      <c r="AA10" s="55">
        <v>0</v>
      </c>
      <c r="AB10" s="53">
        <v>3</v>
      </c>
      <c r="AC10" s="225">
        <v>47295.996589258386</v>
      </c>
      <c r="AD10" s="55">
        <v>30742.39778301795</v>
      </c>
      <c r="AE10" s="317">
        <f>MAX(Table1345[[#This Row],[Protection/GBV PiN]],Table1345[[#This Row],[CP_PiN]])</f>
        <v>33261.697868005787</v>
      </c>
      <c r="AF10" s="317">
        <f>MAX(Table1345[[#This Row],[Protection/GBV Target]],Table1345[[#This Row],[CP_Target]])</f>
        <v>16094.999999999998</v>
      </c>
    </row>
    <row r="11" spans="1:32" x14ac:dyDescent="0.2">
      <c r="A11" s="3" t="s">
        <v>6</v>
      </c>
      <c r="B11" s="3" t="s">
        <v>89</v>
      </c>
      <c r="C11" s="223" t="s">
        <v>518</v>
      </c>
      <c r="D11" s="50">
        <v>3</v>
      </c>
      <c r="E11" s="55">
        <v>147077</v>
      </c>
      <c r="F11" s="55">
        <v>110133.8489635</v>
      </c>
      <c r="G11" s="50">
        <v>3</v>
      </c>
      <c r="H11" s="55">
        <v>0</v>
      </c>
      <c r="I11" s="55"/>
      <c r="J11" s="50" t="s">
        <v>399</v>
      </c>
      <c r="K11" s="55">
        <v>80302.753590435997</v>
      </c>
      <c r="L11" s="55">
        <v>40151.376795217999</v>
      </c>
      <c r="M11" s="53">
        <v>3</v>
      </c>
      <c r="N11" s="55">
        <v>26170</v>
      </c>
      <c r="O11" s="55">
        <v>22000</v>
      </c>
      <c r="P11" s="57">
        <v>3.5</v>
      </c>
      <c r="Q11" s="55">
        <v>73662.065010913866</v>
      </c>
      <c r="R11" s="55">
        <v>31735</v>
      </c>
      <c r="S11" s="57">
        <v>2</v>
      </c>
      <c r="T11" s="55">
        <v>0</v>
      </c>
      <c r="U11" s="55">
        <v>0</v>
      </c>
      <c r="V11" s="50"/>
      <c r="W11" s="50"/>
      <c r="X11" s="50"/>
      <c r="Y11" s="50">
        <v>3</v>
      </c>
      <c r="Z11" s="55">
        <v>34914.240691493913</v>
      </c>
      <c r="AA11" s="55">
        <v>24439.968484045738</v>
      </c>
      <c r="AB11" s="53">
        <v>3</v>
      </c>
      <c r="AC11" s="225">
        <v>107535.86132980125</v>
      </c>
      <c r="AD11" s="55">
        <v>69898.309864370822</v>
      </c>
      <c r="AE11" s="317">
        <f>MAX(Table1345[[#This Row],[Protection/GBV PiN]],Table1345[[#This Row],[CP_PiN]])</f>
        <v>73662.065010913866</v>
      </c>
      <c r="AF11" s="317">
        <f>MAX(Table1345[[#This Row],[Protection/GBV Target]],Table1345[[#This Row],[CP_Target]])</f>
        <v>31735</v>
      </c>
    </row>
    <row r="12" spans="1:32" x14ac:dyDescent="0.2">
      <c r="A12" s="3" t="s">
        <v>6</v>
      </c>
      <c r="B12" s="3" t="s">
        <v>14</v>
      </c>
      <c r="C12" s="223" t="s">
        <v>517</v>
      </c>
      <c r="D12" s="50">
        <v>3</v>
      </c>
      <c r="E12" s="55">
        <v>16744.541506104684</v>
      </c>
      <c r="F12" s="55">
        <v>14500</v>
      </c>
      <c r="G12" s="50"/>
      <c r="H12" s="55">
        <v>0</v>
      </c>
      <c r="I12" s="55"/>
      <c r="J12" s="50" t="s">
        <v>399</v>
      </c>
      <c r="K12" s="55">
        <v>6512.6416728449512</v>
      </c>
      <c r="L12" s="55">
        <v>3256.3208364224756</v>
      </c>
      <c r="M12" s="53"/>
      <c r="N12" s="55"/>
      <c r="O12" s="55"/>
      <c r="P12" s="57">
        <v>3.5</v>
      </c>
      <c r="Q12" s="55">
        <v>6234.2882946317059</v>
      </c>
      <c r="R12" s="55">
        <v>2002</v>
      </c>
      <c r="S12" s="57">
        <v>1</v>
      </c>
      <c r="T12" s="55"/>
      <c r="U12" s="55">
        <v>0</v>
      </c>
      <c r="V12" s="50"/>
      <c r="W12" s="50"/>
      <c r="X12" s="50"/>
      <c r="Y12" s="50">
        <v>3</v>
      </c>
      <c r="Z12" s="55">
        <v>12927.771015742584</v>
      </c>
      <c r="AA12" s="55">
        <v>9049.4397110198079</v>
      </c>
      <c r="AB12" s="53">
        <v>2</v>
      </c>
      <c r="AC12" s="225"/>
      <c r="AD12" s="55"/>
      <c r="AE12" s="317">
        <f>MAX(Table1345[[#This Row],[Protection/GBV PiN]],Table1345[[#This Row],[CP_PiN]])</f>
        <v>6234.2882946317059</v>
      </c>
      <c r="AF12" s="317">
        <f>MAX(Table1345[[#This Row],[Protection/GBV Target]],Table1345[[#This Row],[CP_Target]])</f>
        <v>2002</v>
      </c>
    </row>
    <row r="13" spans="1:32" x14ac:dyDescent="0.2">
      <c r="A13" s="3" t="s">
        <v>6</v>
      </c>
      <c r="B13" s="3" t="s">
        <v>9</v>
      </c>
      <c r="C13" s="223" t="s">
        <v>518</v>
      </c>
      <c r="D13" s="50">
        <v>3</v>
      </c>
      <c r="E13" s="55">
        <v>89357</v>
      </c>
      <c r="F13" s="55">
        <v>85377.64383999999</v>
      </c>
      <c r="G13" s="50">
        <v>3</v>
      </c>
      <c r="H13" s="55">
        <v>0</v>
      </c>
      <c r="I13" s="55"/>
      <c r="J13" s="50" t="s">
        <v>402</v>
      </c>
      <c r="K13" s="55">
        <v>36590.782243432695</v>
      </c>
      <c r="L13" s="55">
        <v>36590.782243432695</v>
      </c>
      <c r="M13" s="53">
        <v>5</v>
      </c>
      <c r="N13" s="55">
        <v>3760</v>
      </c>
      <c r="O13" s="55">
        <v>3000</v>
      </c>
      <c r="P13" s="57">
        <v>3.5</v>
      </c>
      <c r="Q13" s="55">
        <v>67129.767284516798</v>
      </c>
      <c r="R13" s="55">
        <v>27178</v>
      </c>
      <c r="S13" s="57">
        <v>3</v>
      </c>
      <c r="T13" s="55">
        <v>32272.653190823679</v>
      </c>
      <c r="U13" s="55">
        <v>3872.7183828988414</v>
      </c>
      <c r="V13" s="50"/>
      <c r="W13" s="50"/>
      <c r="X13" s="50"/>
      <c r="Y13" s="50">
        <v>2</v>
      </c>
      <c r="Z13" s="55">
        <v>0</v>
      </c>
      <c r="AA13" s="55">
        <v>0</v>
      </c>
      <c r="AB13" s="53">
        <v>3</v>
      </c>
      <c r="AC13" s="225">
        <v>84000</v>
      </c>
      <c r="AD13" s="55">
        <v>54600</v>
      </c>
      <c r="AE13" s="317">
        <f>MAX(Table1345[[#This Row],[Protection/GBV PiN]],Table1345[[#This Row],[CP_PiN]])</f>
        <v>67129.767284516798</v>
      </c>
      <c r="AF13" s="317">
        <f>MAX(Table1345[[#This Row],[Protection/GBV Target]],Table1345[[#This Row],[CP_Target]])</f>
        <v>27178</v>
      </c>
    </row>
    <row r="14" spans="1:32" x14ac:dyDescent="0.2">
      <c r="A14" s="3" t="s">
        <v>6</v>
      </c>
      <c r="B14" s="3" t="s">
        <v>88</v>
      </c>
      <c r="C14" s="223" t="s">
        <v>518</v>
      </c>
      <c r="D14" s="50">
        <v>3</v>
      </c>
      <c r="E14" s="55">
        <v>100338</v>
      </c>
      <c r="F14" s="55">
        <v>98607.955199999997</v>
      </c>
      <c r="G14" s="50">
        <v>4</v>
      </c>
      <c r="H14" s="55">
        <v>89342</v>
      </c>
      <c r="I14" s="55"/>
      <c r="J14" s="50" t="s">
        <v>402</v>
      </c>
      <c r="K14" s="55">
        <v>34752.698634320805</v>
      </c>
      <c r="L14" s="55">
        <v>34752.698634320805</v>
      </c>
      <c r="M14" s="53">
        <v>4</v>
      </c>
      <c r="N14" s="55">
        <v>3080</v>
      </c>
      <c r="O14" s="55">
        <v>2500</v>
      </c>
      <c r="P14" s="57">
        <v>3.5</v>
      </c>
      <c r="Q14" s="55">
        <v>64611.599910724377</v>
      </c>
      <c r="R14" s="55">
        <v>28442</v>
      </c>
      <c r="S14" s="57">
        <v>3</v>
      </c>
      <c r="T14" s="55">
        <v>41521.979394133334</v>
      </c>
      <c r="U14" s="55">
        <v>4982.6375272959995</v>
      </c>
      <c r="V14" s="50"/>
      <c r="W14" s="50"/>
      <c r="X14" s="50"/>
      <c r="Y14" s="50">
        <v>2</v>
      </c>
      <c r="Z14" s="55">
        <v>0</v>
      </c>
      <c r="AA14" s="55">
        <v>0</v>
      </c>
      <c r="AB14" s="53">
        <v>4</v>
      </c>
      <c r="AC14" s="225">
        <v>183747.08477786818</v>
      </c>
      <c r="AD14" s="55">
        <v>119435.60510561432</v>
      </c>
      <c r="AE14" s="317">
        <f>MAX(Table1345[[#This Row],[Protection/GBV PiN]],Table1345[[#This Row],[CP_PiN]])</f>
        <v>64611.599910724377</v>
      </c>
      <c r="AF14" s="317">
        <f>MAX(Table1345[[#This Row],[Protection/GBV Target]],Table1345[[#This Row],[CP_Target]])</f>
        <v>28442</v>
      </c>
    </row>
    <row r="15" spans="1:32" x14ac:dyDescent="0.2">
      <c r="A15" s="3" t="s">
        <v>6</v>
      </c>
      <c r="B15" s="3" t="s">
        <v>12</v>
      </c>
      <c r="C15" s="223" t="s">
        <v>517</v>
      </c>
      <c r="D15" s="50">
        <v>3</v>
      </c>
      <c r="E15" s="55">
        <v>136439.44555469762</v>
      </c>
      <c r="F15" s="55">
        <v>41000</v>
      </c>
      <c r="G15" s="50"/>
      <c r="H15" s="55">
        <v>0</v>
      </c>
      <c r="I15" s="55"/>
      <c r="J15" s="50" t="s">
        <v>399</v>
      </c>
      <c r="K15" s="55">
        <v>24156.024499858508</v>
      </c>
      <c r="L15" s="55"/>
      <c r="M15" s="53"/>
      <c r="N15" s="55"/>
      <c r="O15" s="55"/>
      <c r="P15" s="57">
        <v>3.5</v>
      </c>
      <c r="Q15" s="55">
        <v>46247.169228494997</v>
      </c>
      <c r="R15" s="55">
        <v>25822</v>
      </c>
      <c r="S15" s="57">
        <v>1</v>
      </c>
      <c r="T15" s="55"/>
      <c r="U15" s="55">
        <v>0</v>
      </c>
      <c r="V15" s="50"/>
      <c r="W15" s="50"/>
      <c r="X15" s="50"/>
      <c r="Y15" s="50">
        <v>2</v>
      </c>
      <c r="Z15" s="55">
        <v>0</v>
      </c>
      <c r="AA15" s="55">
        <v>0</v>
      </c>
      <c r="AB15" s="53">
        <v>4</v>
      </c>
      <c r="AC15" s="225">
        <v>86803.862994046911</v>
      </c>
      <c r="AD15" s="55">
        <v>56422.510946130496</v>
      </c>
      <c r="AE15" s="317">
        <f>MAX(Table1345[[#This Row],[Protection/GBV PiN]],Table1345[[#This Row],[CP_PiN]])</f>
        <v>46247.169228494997</v>
      </c>
      <c r="AF15" s="317">
        <f>MAX(Table1345[[#This Row],[Protection/GBV Target]],Table1345[[#This Row],[CP_Target]])</f>
        <v>25822</v>
      </c>
    </row>
    <row r="16" spans="1:32" x14ac:dyDescent="0.2">
      <c r="A16" s="3" t="s">
        <v>6</v>
      </c>
      <c r="B16" s="3" t="s">
        <v>10</v>
      </c>
      <c r="C16" s="223" t="s">
        <v>518</v>
      </c>
      <c r="D16" s="50">
        <v>3</v>
      </c>
      <c r="E16" s="55">
        <v>46139</v>
      </c>
      <c r="F16" s="55">
        <v>44166.476159999998</v>
      </c>
      <c r="G16" s="50">
        <v>3</v>
      </c>
      <c r="H16" s="55">
        <v>0</v>
      </c>
      <c r="I16" s="55"/>
      <c r="J16" s="50" t="s">
        <v>402</v>
      </c>
      <c r="K16" s="55">
        <v>21647.154723134852</v>
      </c>
      <c r="L16" s="55">
        <v>21647.154723134852</v>
      </c>
      <c r="M16" s="53">
        <v>4</v>
      </c>
      <c r="N16" s="55">
        <v>555</v>
      </c>
      <c r="O16" s="55">
        <v>555</v>
      </c>
      <c r="P16" s="57">
        <v>3.5</v>
      </c>
      <c r="Q16" s="55">
        <v>41594.869794963488</v>
      </c>
      <c r="R16" s="55">
        <v>22460</v>
      </c>
      <c r="S16" s="57">
        <v>2</v>
      </c>
      <c r="T16" s="55"/>
      <c r="U16" s="55">
        <v>0</v>
      </c>
      <c r="V16" s="50"/>
      <c r="W16" s="50"/>
      <c r="X16" s="50"/>
      <c r="Y16" s="50">
        <v>2</v>
      </c>
      <c r="Z16" s="55">
        <v>0</v>
      </c>
      <c r="AA16" s="55">
        <v>0</v>
      </c>
      <c r="AB16" s="53">
        <v>4</v>
      </c>
      <c r="AC16" s="55">
        <v>118290.46296794999</v>
      </c>
      <c r="AD16" s="55">
        <v>76888.800929167497</v>
      </c>
      <c r="AE16" s="317">
        <f>MAX(Table1345[[#This Row],[Protection/GBV PiN]],Table1345[[#This Row],[CP_PiN]])</f>
        <v>41594.869794963488</v>
      </c>
      <c r="AF16" s="317">
        <f>MAX(Table1345[[#This Row],[Protection/GBV Target]],Table1345[[#This Row],[CP_Target]])</f>
        <v>22460</v>
      </c>
    </row>
    <row r="17" spans="1:32" x14ac:dyDescent="0.2">
      <c r="A17" s="3" t="s">
        <v>6</v>
      </c>
      <c r="B17" s="3" t="s">
        <v>11</v>
      </c>
      <c r="C17" s="223" t="s">
        <v>518</v>
      </c>
      <c r="D17" s="50">
        <v>3</v>
      </c>
      <c r="E17" s="55">
        <v>48461</v>
      </c>
      <c r="F17" s="55">
        <v>48461</v>
      </c>
      <c r="G17" s="50">
        <v>3</v>
      </c>
      <c r="H17" s="55">
        <v>0</v>
      </c>
      <c r="I17" s="55"/>
      <c r="J17" s="50" t="s">
        <v>402</v>
      </c>
      <c r="K17" s="55">
        <v>15317.388847522276</v>
      </c>
      <c r="L17" s="55">
        <v>15317.388847522276</v>
      </c>
      <c r="M17" s="53">
        <v>4</v>
      </c>
      <c r="N17" s="55">
        <v>295</v>
      </c>
      <c r="O17" s="55"/>
      <c r="P17" s="57">
        <v>3.5</v>
      </c>
      <c r="Q17" s="55">
        <v>31205.703930574062</v>
      </c>
      <c r="R17" s="55">
        <v>13176</v>
      </c>
      <c r="S17" s="57">
        <v>2</v>
      </c>
      <c r="T17" s="55"/>
      <c r="U17" s="55">
        <v>0</v>
      </c>
      <c r="V17" s="50"/>
      <c r="W17" s="50"/>
      <c r="X17" s="50"/>
      <c r="Y17" s="50">
        <v>2</v>
      </c>
      <c r="Z17" s="55">
        <v>0</v>
      </c>
      <c r="AA17" s="55">
        <v>0</v>
      </c>
      <c r="AB17" s="53">
        <v>3</v>
      </c>
      <c r="AC17" s="55">
        <v>44372.505352034401</v>
      </c>
      <c r="AD17" s="55">
        <v>28842.12847882236</v>
      </c>
      <c r="AE17" s="317">
        <f>MAX(Table1345[[#This Row],[Protection/GBV PiN]],Table1345[[#This Row],[CP_PiN]])</f>
        <v>31205.703930574062</v>
      </c>
      <c r="AF17" s="317">
        <f>MAX(Table1345[[#This Row],[Protection/GBV Target]],Table1345[[#This Row],[CP_Target]])</f>
        <v>13176</v>
      </c>
    </row>
    <row r="18" spans="1:32" x14ac:dyDescent="0.2">
      <c r="A18" s="3" t="s">
        <v>6</v>
      </c>
      <c r="B18" s="3" t="s">
        <v>13</v>
      </c>
      <c r="C18" s="223" t="s">
        <v>517</v>
      </c>
      <c r="D18" s="50">
        <v>3</v>
      </c>
      <c r="E18" s="55">
        <v>15459.109486160636</v>
      </c>
      <c r="F18" s="55">
        <v>10000</v>
      </c>
      <c r="G18" s="50"/>
      <c r="H18" s="55">
        <v>0</v>
      </c>
      <c r="I18" s="55"/>
      <c r="J18" s="50" t="s">
        <v>401</v>
      </c>
      <c r="K18" s="55">
        <v>0</v>
      </c>
      <c r="L18" s="55"/>
      <c r="M18" s="53"/>
      <c r="N18" s="55"/>
      <c r="O18" s="55"/>
      <c r="P18" s="57">
        <v>3.5</v>
      </c>
      <c r="Q18" s="55">
        <v>7472.6666115789485</v>
      </c>
      <c r="R18" s="55">
        <v>6500</v>
      </c>
      <c r="S18" s="57">
        <v>1</v>
      </c>
      <c r="T18" s="55"/>
      <c r="U18" s="55">
        <v>0</v>
      </c>
      <c r="V18" s="50">
        <v>5</v>
      </c>
      <c r="W18" s="50">
        <v>75</v>
      </c>
      <c r="X18" s="50">
        <v>75</v>
      </c>
      <c r="Y18" s="50">
        <v>2</v>
      </c>
      <c r="Z18" s="55">
        <v>0</v>
      </c>
      <c r="AA18" s="55">
        <v>0</v>
      </c>
      <c r="AB18" s="53">
        <v>2</v>
      </c>
      <c r="AC18" s="55"/>
      <c r="AD18" s="55"/>
      <c r="AE18" s="317">
        <f>MAX(Table1345[[#This Row],[Protection/GBV PiN]],Table1345[[#This Row],[CP_PiN]])</f>
        <v>7472.6666115789485</v>
      </c>
      <c r="AF18" s="317">
        <f>MAX(Table1345[[#This Row],[Protection/GBV Target]],Table1345[[#This Row],[CP_Target]])</f>
        <v>6500</v>
      </c>
    </row>
    <row r="19" spans="1:32" x14ac:dyDescent="0.2">
      <c r="A19" s="3" t="s">
        <v>15</v>
      </c>
      <c r="B19" s="3" t="s">
        <v>90</v>
      </c>
      <c r="C19" s="223" t="s">
        <v>518</v>
      </c>
      <c r="D19" s="50">
        <v>3</v>
      </c>
      <c r="E19" s="55">
        <v>47933</v>
      </c>
      <c r="F19" s="55">
        <v>45737.417600000001</v>
      </c>
      <c r="G19" s="50">
        <v>4</v>
      </c>
      <c r="H19" s="55">
        <v>31928</v>
      </c>
      <c r="I19" s="55"/>
      <c r="J19" s="50" t="s">
        <v>399</v>
      </c>
      <c r="K19" s="55">
        <v>5572.8126425918863</v>
      </c>
      <c r="L19" s="55"/>
      <c r="M19" s="53"/>
      <c r="N19" s="55"/>
      <c r="O19" s="55"/>
      <c r="P19" s="57">
        <v>4</v>
      </c>
      <c r="Q19" s="55">
        <v>21936.023570206904</v>
      </c>
      <c r="R19" s="55">
        <v>0</v>
      </c>
      <c r="S19" s="57">
        <v>3</v>
      </c>
      <c r="T19" s="55">
        <v>18059.345955255951</v>
      </c>
      <c r="U19" s="224">
        <v>2167.121514630714</v>
      </c>
      <c r="V19" s="61"/>
      <c r="W19" s="61"/>
      <c r="X19" s="211"/>
      <c r="Y19" s="50">
        <v>2</v>
      </c>
      <c r="Z19" s="55">
        <v>0</v>
      </c>
      <c r="AA19" s="55">
        <v>0</v>
      </c>
      <c r="AB19" s="53">
        <v>3</v>
      </c>
      <c r="AC19" s="55">
        <v>47766.965507930443</v>
      </c>
      <c r="AD19" s="55">
        <v>31048.52758015479</v>
      </c>
      <c r="AE19" s="317">
        <f>MAX(Table1345[[#This Row],[Protection/GBV PiN]],Table1345[[#This Row],[CP_PiN]])</f>
        <v>21936.023570206904</v>
      </c>
      <c r="AF19" s="317">
        <f>MAX(Table1345[[#This Row],[Protection/GBV Target]],Table1345[[#This Row],[CP_Target]])</f>
        <v>2167.121514630714</v>
      </c>
    </row>
    <row r="20" spans="1:32" x14ac:dyDescent="0.2">
      <c r="A20" s="3" t="s">
        <v>15</v>
      </c>
      <c r="B20" s="3" t="s">
        <v>24</v>
      </c>
      <c r="C20" s="223" t="s">
        <v>517</v>
      </c>
      <c r="D20" s="50">
        <v>3</v>
      </c>
      <c r="E20" s="55">
        <v>24239.253159699478</v>
      </c>
      <c r="F20" s="55">
        <v>20000</v>
      </c>
      <c r="G20" s="50"/>
      <c r="H20" s="55">
        <v>0</v>
      </c>
      <c r="I20" s="55"/>
      <c r="J20" s="50" t="s">
        <v>401</v>
      </c>
      <c r="K20" s="55">
        <v>0</v>
      </c>
      <c r="L20" s="55"/>
      <c r="M20" s="53"/>
      <c r="N20" s="55"/>
      <c r="O20" s="55"/>
      <c r="P20" s="57">
        <v>4</v>
      </c>
      <c r="Q20" s="55">
        <v>7651.0420098290724</v>
      </c>
      <c r="R20" s="55">
        <v>0</v>
      </c>
      <c r="S20" s="57">
        <v>1</v>
      </c>
      <c r="T20" s="55"/>
      <c r="U20" s="55">
        <v>0</v>
      </c>
      <c r="V20" s="50"/>
      <c r="W20" s="50"/>
      <c r="X20" s="50"/>
      <c r="Y20" s="50">
        <v>2</v>
      </c>
      <c r="Z20" s="55">
        <v>0</v>
      </c>
      <c r="AA20" s="55">
        <v>0</v>
      </c>
      <c r="AB20" s="53">
        <v>2</v>
      </c>
      <c r="AC20" s="55"/>
      <c r="AD20" s="55"/>
      <c r="AE20" s="317">
        <f>MAX(Table1345[[#This Row],[Protection/GBV PiN]],Table1345[[#This Row],[CP_PiN]])</f>
        <v>7651.0420098290724</v>
      </c>
      <c r="AF20" s="317">
        <f>MAX(Table1345[[#This Row],[Protection/GBV Target]],Table1345[[#This Row],[CP_Target]])</f>
        <v>0</v>
      </c>
    </row>
    <row r="21" spans="1:32" x14ac:dyDescent="0.2">
      <c r="A21" s="3" t="s">
        <v>15</v>
      </c>
      <c r="B21" s="3" t="s">
        <v>16</v>
      </c>
      <c r="C21" s="223" t="s">
        <v>518</v>
      </c>
      <c r="D21" s="50">
        <v>3</v>
      </c>
      <c r="E21" s="55">
        <v>40289</v>
      </c>
      <c r="F21" s="55">
        <v>11302.0918695</v>
      </c>
      <c r="G21" s="50">
        <v>5</v>
      </c>
      <c r="H21" s="55">
        <v>28102</v>
      </c>
      <c r="I21" s="55">
        <v>28102</v>
      </c>
      <c r="J21" s="50" t="s">
        <v>399</v>
      </c>
      <c r="K21" s="55">
        <v>5464.7556456807697</v>
      </c>
      <c r="L21" s="55"/>
      <c r="M21" s="53"/>
      <c r="N21" s="55"/>
      <c r="O21" s="55"/>
      <c r="P21" s="57">
        <v>4</v>
      </c>
      <c r="Q21" s="55">
        <v>21510.683444279828</v>
      </c>
      <c r="R21" s="55">
        <v>0</v>
      </c>
      <c r="S21" s="57">
        <v>2.6666666666666665</v>
      </c>
      <c r="T21" s="55">
        <v>21031.988528856673</v>
      </c>
      <c r="U21" s="55">
        <v>2523.8386234628006</v>
      </c>
      <c r="V21" s="50"/>
      <c r="W21" s="50"/>
      <c r="X21" s="50"/>
      <c r="Y21" s="50">
        <v>3</v>
      </c>
      <c r="Z21" s="55">
        <v>42156.686409537368</v>
      </c>
      <c r="AA21" s="55">
        <v>29509.680486676156</v>
      </c>
      <c r="AB21" s="53">
        <v>3</v>
      </c>
      <c r="AC21" s="55">
        <v>46840.762677263738</v>
      </c>
      <c r="AD21" s="55">
        <v>30446.495740221431</v>
      </c>
      <c r="AE21" s="317">
        <f>MAX(Table1345[[#This Row],[Protection/GBV PiN]],Table1345[[#This Row],[CP_PiN]])</f>
        <v>21510.683444279828</v>
      </c>
      <c r="AF21" s="317">
        <f>MAX(Table1345[[#This Row],[Protection/GBV Target]],Table1345[[#This Row],[CP_Target]])</f>
        <v>2523.8386234628006</v>
      </c>
    </row>
    <row r="22" spans="1:32" x14ac:dyDescent="0.2">
      <c r="A22" s="3" t="s">
        <v>15</v>
      </c>
      <c r="B22" s="3" t="s">
        <v>17</v>
      </c>
      <c r="C22" s="223" t="s">
        <v>518</v>
      </c>
      <c r="D22" s="50">
        <v>3</v>
      </c>
      <c r="E22" s="55">
        <v>27132</v>
      </c>
      <c r="F22" s="55">
        <v>25682.065919999997</v>
      </c>
      <c r="G22" s="50">
        <v>4</v>
      </c>
      <c r="H22" s="55">
        <v>19312</v>
      </c>
      <c r="I22" s="55"/>
      <c r="J22" s="50" t="s">
        <v>401</v>
      </c>
      <c r="K22" s="55">
        <v>0</v>
      </c>
      <c r="L22" s="55"/>
      <c r="M22" s="53"/>
      <c r="N22" s="55"/>
      <c r="O22" s="55"/>
      <c r="P22" s="57">
        <v>4</v>
      </c>
      <c r="Q22" s="55">
        <v>21729.660032998465</v>
      </c>
      <c r="R22" s="55">
        <v>0</v>
      </c>
      <c r="S22" s="57">
        <v>2.3333333333333335</v>
      </c>
      <c r="T22" s="55">
        <v>11789.403445623655</v>
      </c>
      <c r="U22" s="55">
        <v>1414.7284134748386</v>
      </c>
      <c r="V22" s="50"/>
      <c r="W22" s="50"/>
      <c r="X22" s="50"/>
      <c r="Y22" s="50">
        <v>2</v>
      </c>
      <c r="Z22" s="55">
        <v>0</v>
      </c>
      <c r="AA22" s="55">
        <v>0</v>
      </c>
      <c r="AB22" s="53">
        <v>2</v>
      </c>
      <c r="AC22" s="55"/>
      <c r="AD22" s="55"/>
      <c r="AE22" s="317">
        <f>MAX(Table1345[[#This Row],[Protection/GBV PiN]],Table1345[[#This Row],[CP_PiN]])</f>
        <v>21729.660032998465</v>
      </c>
      <c r="AF22" s="317">
        <f>MAX(Table1345[[#This Row],[Protection/GBV Target]],Table1345[[#This Row],[CP_Target]])</f>
        <v>1414.7284134748386</v>
      </c>
    </row>
    <row r="23" spans="1:32" x14ac:dyDescent="0.2">
      <c r="A23" s="3" t="s">
        <v>15</v>
      </c>
      <c r="B23" s="3" t="s">
        <v>18</v>
      </c>
      <c r="C23" s="223" t="s">
        <v>518</v>
      </c>
      <c r="D23" s="50">
        <v>3</v>
      </c>
      <c r="E23" s="55">
        <v>89362</v>
      </c>
      <c r="F23" s="55">
        <v>85268.709759999998</v>
      </c>
      <c r="G23" s="50">
        <v>3</v>
      </c>
      <c r="H23" s="55">
        <v>0</v>
      </c>
      <c r="I23" s="55"/>
      <c r="J23" s="50" t="s">
        <v>402</v>
      </c>
      <c r="K23" s="55">
        <v>34137.199127130123</v>
      </c>
      <c r="L23" s="55">
        <v>34137.199127130123</v>
      </c>
      <c r="M23" s="53"/>
      <c r="N23" s="55"/>
      <c r="O23" s="55"/>
      <c r="P23" s="57">
        <v>4</v>
      </c>
      <c r="Q23" s="55">
        <v>40896.067709092094</v>
      </c>
      <c r="R23" s="55">
        <v>0</v>
      </c>
      <c r="S23" s="57">
        <v>3</v>
      </c>
      <c r="T23" s="55">
        <v>31899.51067333333</v>
      </c>
      <c r="U23" s="55">
        <v>3827.9412807999997</v>
      </c>
      <c r="V23" s="50"/>
      <c r="W23" s="50"/>
      <c r="X23" s="50"/>
      <c r="Y23" s="50">
        <v>2</v>
      </c>
      <c r="Z23" s="55">
        <v>0</v>
      </c>
      <c r="AA23" s="55">
        <v>0</v>
      </c>
      <c r="AB23" s="53">
        <v>3</v>
      </c>
      <c r="AC23" s="55">
        <v>89053.562940339427</v>
      </c>
      <c r="AD23" s="55">
        <v>57884.815911220627</v>
      </c>
      <c r="AE23" s="317">
        <f>MAX(Table1345[[#This Row],[Protection/GBV PiN]],Table1345[[#This Row],[CP_PiN]])</f>
        <v>40896.067709092094</v>
      </c>
      <c r="AF23" s="317">
        <f>MAX(Table1345[[#This Row],[Protection/GBV Target]],Table1345[[#This Row],[CP_Target]])</f>
        <v>3827.9412807999997</v>
      </c>
    </row>
    <row r="24" spans="1:32" x14ac:dyDescent="0.2">
      <c r="A24" s="3" t="s">
        <v>15</v>
      </c>
      <c r="B24" s="3" t="s">
        <v>22</v>
      </c>
      <c r="C24" s="223" t="s">
        <v>518</v>
      </c>
      <c r="D24" s="50">
        <v>3</v>
      </c>
      <c r="E24" s="55">
        <v>45049</v>
      </c>
      <c r="F24" s="55">
        <v>17842.393249499997</v>
      </c>
      <c r="G24" s="50">
        <v>3</v>
      </c>
      <c r="H24" s="55">
        <v>0</v>
      </c>
      <c r="I24" s="55"/>
      <c r="J24" s="50" t="s">
        <v>401</v>
      </c>
      <c r="K24" s="55">
        <v>0</v>
      </c>
      <c r="L24" s="55"/>
      <c r="M24" s="53"/>
      <c r="N24" s="55"/>
      <c r="O24" s="55"/>
      <c r="P24" s="57">
        <v>4</v>
      </c>
      <c r="Q24" s="55">
        <v>14431.433102912855</v>
      </c>
      <c r="R24" s="55">
        <v>8244</v>
      </c>
      <c r="S24" s="57">
        <v>3.3333333333333335</v>
      </c>
      <c r="T24" s="55">
        <v>13916.762549235238</v>
      </c>
      <c r="U24" s="55">
        <v>1670.0115059082284</v>
      </c>
      <c r="V24" s="50"/>
      <c r="W24" s="50"/>
      <c r="X24" s="50"/>
      <c r="Y24" s="50">
        <v>2</v>
      </c>
      <c r="Z24" s="55">
        <v>0</v>
      </c>
      <c r="AA24" s="55">
        <v>0</v>
      </c>
      <c r="AB24" s="53">
        <v>3</v>
      </c>
      <c r="AC24" s="55">
        <v>31425.283851039461</v>
      </c>
      <c r="AD24" s="55">
        <v>20426.434503175649</v>
      </c>
      <c r="AE24" s="317">
        <f>MAX(Table1345[[#This Row],[Protection/GBV PiN]],Table1345[[#This Row],[CP_PiN]])</f>
        <v>14431.433102912855</v>
      </c>
      <c r="AF24" s="317">
        <f>MAX(Table1345[[#This Row],[Protection/GBV Target]],Table1345[[#This Row],[CP_Target]])</f>
        <v>8244</v>
      </c>
    </row>
    <row r="25" spans="1:32" x14ac:dyDescent="0.2">
      <c r="A25" s="3" t="s">
        <v>15</v>
      </c>
      <c r="B25" s="3" t="s">
        <v>19</v>
      </c>
      <c r="C25" s="223" t="s">
        <v>518</v>
      </c>
      <c r="D25" s="50">
        <v>3</v>
      </c>
      <c r="E25" s="55">
        <v>81429</v>
      </c>
      <c r="F25" s="55">
        <v>78320.71583999999</v>
      </c>
      <c r="G25" s="50">
        <v>5</v>
      </c>
      <c r="H25" s="55">
        <v>62531</v>
      </c>
      <c r="I25" s="55">
        <v>62531</v>
      </c>
      <c r="J25" s="50" t="s">
        <v>402</v>
      </c>
      <c r="K25" s="55">
        <v>31106.59963297817</v>
      </c>
      <c r="L25" s="55">
        <v>31106.599632978166</v>
      </c>
      <c r="M25" s="53"/>
      <c r="N25" s="55"/>
      <c r="O25" s="55"/>
      <c r="P25" s="57">
        <v>4</v>
      </c>
      <c r="Q25" s="55">
        <v>37265.43586813713</v>
      </c>
      <c r="R25" s="55">
        <v>0</v>
      </c>
      <c r="S25" s="57">
        <v>2.6666666666666665</v>
      </c>
      <c r="T25" s="55">
        <v>32104.847826813231</v>
      </c>
      <c r="U25" s="55">
        <v>3852.5817392175877</v>
      </c>
      <c r="V25" s="50"/>
      <c r="W25" s="50"/>
      <c r="X25" s="50"/>
      <c r="Y25" s="50">
        <v>2</v>
      </c>
      <c r="Z25" s="55">
        <v>0</v>
      </c>
      <c r="AA25" s="55">
        <v>0</v>
      </c>
      <c r="AB25" s="53">
        <v>3</v>
      </c>
      <c r="AC25" s="55">
        <v>135246.08536077465</v>
      </c>
      <c r="AD25" s="55">
        <v>87909.955484503531</v>
      </c>
      <c r="AE25" s="317">
        <f>MAX(Table1345[[#This Row],[Protection/GBV PiN]],Table1345[[#This Row],[CP_PiN]])</f>
        <v>37265.43586813713</v>
      </c>
      <c r="AF25" s="317">
        <f>MAX(Table1345[[#This Row],[Protection/GBV Target]],Table1345[[#This Row],[CP_Target]])</f>
        <v>3852.5817392175877</v>
      </c>
    </row>
    <row r="26" spans="1:32" x14ac:dyDescent="0.2">
      <c r="A26" s="3" t="s">
        <v>15</v>
      </c>
      <c r="B26" s="3" t="s">
        <v>23</v>
      </c>
      <c r="C26" s="223" t="s">
        <v>517</v>
      </c>
      <c r="D26" s="50">
        <v>3</v>
      </c>
      <c r="E26" s="55">
        <v>5854.6051879031438</v>
      </c>
      <c r="F26" s="55"/>
      <c r="G26" s="50"/>
      <c r="H26" s="55">
        <v>0</v>
      </c>
      <c r="I26" s="55"/>
      <c r="J26" s="50" t="s">
        <v>402</v>
      </c>
      <c r="K26" s="55">
        <v>1510.3786905480165</v>
      </c>
      <c r="L26" s="55">
        <v>1510.3786905480165</v>
      </c>
      <c r="M26" s="53"/>
      <c r="N26" s="55"/>
      <c r="O26" s="55"/>
      <c r="P26" s="57">
        <v>4</v>
      </c>
      <c r="Q26" s="55">
        <v>1847.9872275142959</v>
      </c>
      <c r="R26" s="55">
        <v>0</v>
      </c>
      <c r="S26" s="57">
        <v>1</v>
      </c>
      <c r="T26" s="55"/>
      <c r="U26" s="55">
        <v>0</v>
      </c>
      <c r="V26" s="50"/>
      <c r="W26" s="50"/>
      <c r="X26" s="50"/>
      <c r="Y26" s="50">
        <v>2</v>
      </c>
      <c r="Z26" s="55">
        <v>0</v>
      </c>
      <c r="AA26" s="55">
        <v>0</v>
      </c>
      <c r="AB26" s="53">
        <v>2</v>
      </c>
      <c r="AC26" s="55"/>
      <c r="AD26" s="55"/>
      <c r="AE26" s="317">
        <f>MAX(Table1345[[#This Row],[Protection/GBV PiN]],Table1345[[#This Row],[CP_PiN]])</f>
        <v>1847.9872275142959</v>
      </c>
      <c r="AF26" s="317">
        <f>MAX(Table1345[[#This Row],[Protection/GBV Target]],Table1345[[#This Row],[CP_Target]])</f>
        <v>0</v>
      </c>
    </row>
    <row r="27" spans="1:32" x14ac:dyDescent="0.2">
      <c r="A27" s="3" t="s">
        <v>15</v>
      </c>
      <c r="B27" s="3" t="s">
        <v>20</v>
      </c>
      <c r="C27" s="223" t="s">
        <v>518</v>
      </c>
      <c r="D27" s="50">
        <v>3</v>
      </c>
      <c r="E27" s="55">
        <v>32391</v>
      </c>
      <c r="F27" s="55">
        <v>9086.5014704999994</v>
      </c>
      <c r="G27" s="50">
        <v>5</v>
      </c>
      <c r="H27" s="55">
        <v>21993</v>
      </c>
      <c r="I27" s="55">
        <v>21993</v>
      </c>
      <c r="J27" s="50" t="s">
        <v>401</v>
      </c>
      <c r="K27" s="55">
        <v>0</v>
      </c>
      <c r="L27" s="55"/>
      <c r="M27" s="53"/>
      <c r="N27" s="55"/>
      <c r="O27" s="55"/>
      <c r="P27" s="57">
        <v>4</v>
      </c>
      <c r="Q27" s="55">
        <v>12970.421302982129</v>
      </c>
      <c r="R27" s="55">
        <v>0</v>
      </c>
      <c r="S27" s="57">
        <v>3</v>
      </c>
      <c r="T27" s="55">
        <v>10594.521808000001</v>
      </c>
      <c r="U27" s="55">
        <v>1271.3426169600002</v>
      </c>
      <c r="V27" s="50"/>
      <c r="W27" s="50"/>
      <c r="X27" s="50"/>
      <c r="Y27" s="50">
        <v>2</v>
      </c>
      <c r="Z27" s="55">
        <v>0</v>
      </c>
      <c r="AA27" s="55">
        <v>0</v>
      </c>
      <c r="AB27" s="53">
        <v>2</v>
      </c>
      <c r="AC27" s="55"/>
      <c r="AD27" s="55"/>
      <c r="AE27" s="317">
        <f>MAX(Table1345[[#This Row],[Protection/GBV PiN]],Table1345[[#This Row],[CP_PiN]])</f>
        <v>12970.421302982129</v>
      </c>
      <c r="AF27" s="317">
        <f>MAX(Table1345[[#This Row],[Protection/GBV Target]],Table1345[[#This Row],[CP_Target]])</f>
        <v>1271.3426169600002</v>
      </c>
    </row>
    <row r="28" spans="1:32" x14ac:dyDescent="0.2">
      <c r="A28" s="3" t="s">
        <v>15</v>
      </c>
      <c r="B28" s="3" t="s">
        <v>21</v>
      </c>
      <c r="C28" s="223" t="s">
        <v>518</v>
      </c>
      <c r="D28" s="50">
        <v>3</v>
      </c>
      <c r="E28" s="55">
        <v>40571</v>
      </c>
      <c r="F28" s="55">
        <v>38764.247040000002</v>
      </c>
      <c r="G28" s="50">
        <v>3</v>
      </c>
      <c r="H28" s="55">
        <v>0</v>
      </c>
      <c r="I28" s="55"/>
      <c r="J28" s="50" t="s">
        <v>401</v>
      </c>
      <c r="K28" s="55">
        <v>0</v>
      </c>
      <c r="L28" s="55"/>
      <c r="M28" s="53"/>
      <c r="N28" s="55"/>
      <c r="O28" s="55"/>
      <c r="P28" s="57">
        <v>4</v>
      </c>
      <c r="Q28" s="55">
        <v>21661.164156047271</v>
      </c>
      <c r="R28" s="55">
        <v>0</v>
      </c>
      <c r="S28" s="57">
        <v>2</v>
      </c>
      <c r="T28" s="55"/>
      <c r="U28" s="55">
        <v>0</v>
      </c>
      <c r="V28" s="50"/>
      <c r="W28" s="50"/>
      <c r="X28" s="50"/>
      <c r="Y28" s="50">
        <v>2</v>
      </c>
      <c r="Z28" s="55">
        <v>0</v>
      </c>
      <c r="AA28" s="55">
        <v>0</v>
      </c>
      <c r="AB28" s="53">
        <v>3</v>
      </c>
      <c r="AC28" s="55">
        <v>47168.443168014441</v>
      </c>
      <c r="AD28" s="55">
        <v>30659.488059209387</v>
      </c>
      <c r="AE28" s="317">
        <f>MAX(Table1345[[#This Row],[Protection/GBV PiN]],Table1345[[#This Row],[CP_PiN]])</f>
        <v>21661.164156047271</v>
      </c>
      <c r="AF28" s="317">
        <f>MAX(Table1345[[#This Row],[Protection/GBV Target]],Table1345[[#This Row],[CP_Target]])</f>
        <v>0</v>
      </c>
    </row>
    <row r="29" spans="1:32" x14ac:dyDescent="0.2">
      <c r="A29" s="3" t="s">
        <v>25</v>
      </c>
      <c r="B29" s="3" t="s">
        <v>26</v>
      </c>
      <c r="C29" s="223" t="s">
        <v>518</v>
      </c>
      <c r="D29" s="50">
        <v>3</v>
      </c>
      <c r="E29" s="55">
        <v>26281</v>
      </c>
      <c r="F29" s="55">
        <v>7372.4906654999995</v>
      </c>
      <c r="G29" s="50">
        <v>3</v>
      </c>
      <c r="H29" s="55">
        <v>0</v>
      </c>
      <c r="I29" s="55"/>
      <c r="J29" s="50" t="s">
        <v>400</v>
      </c>
      <c r="K29" s="55">
        <v>0</v>
      </c>
      <c r="L29" s="55"/>
      <c r="M29" s="53"/>
      <c r="N29" s="55"/>
      <c r="O29" s="55"/>
      <c r="P29" s="57">
        <v>3.5</v>
      </c>
      <c r="Q29" s="55">
        <v>20353.288495548699</v>
      </c>
      <c r="R29" s="55">
        <v>0</v>
      </c>
      <c r="S29" s="57">
        <v>2.6666666666666665</v>
      </c>
      <c r="T29" s="55">
        <v>16414.977193333332</v>
      </c>
      <c r="U29" s="55">
        <v>1969.7972631999999</v>
      </c>
      <c r="V29" s="50"/>
      <c r="W29" s="50"/>
      <c r="X29" s="50"/>
      <c r="Y29" s="50">
        <v>2</v>
      </c>
      <c r="Z29" s="55">
        <v>0</v>
      </c>
      <c r="AA29" s="55">
        <v>0</v>
      </c>
      <c r="AB29" s="53">
        <v>3</v>
      </c>
      <c r="AC29" s="55">
        <v>44591.117312029026</v>
      </c>
      <c r="AD29" s="55">
        <v>28984.226252818869</v>
      </c>
      <c r="AE29" s="317">
        <f>MAX(Table1345[[#This Row],[Protection/GBV PiN]],Table1345[[#This Row],[CP_PiN]])</f>
        <v>20353.288495548699</v>
      </c>
      <c r="AF29" s="317">
        <f>MAX(Table1345[[#This Row],[Protection/GBV Target]],Table1345[[#This Row],[CP_Target]])</f>
        <v>1969.7972631999999</v>
      </c>
    </row>
    <row r="30" spans="1:32" x14ac:dyDescent="0.2">
      <c r="A30" s="3" t="s">
        <v>25</v>
      </c>
      <c r="B30" s="3" t="s">
        <v>27</v>
      </c>
      <c r="C30" s="223" t="s">
        <v>518</v>
      </c>
      <c r="D30" s="50">
        <v>3</v>
      </c>
      <c r="E30" s="55">
        <v>61516</v>
      </c>
      <c r="F30" s="55">
        <v>58886.057280000001</v>
      </c>
      <c r="G30" s="50">
        <v>4</v>
      </c>
      <c r="H30" s="55">
        <v>41665</v>
      </c>
      <c r="I30" s="55"/>
      <c r="J30" s="50" t="s">
        <v>400</v>
      </c>
      <c r="K30" s="55">
        <v>0</v>
      </c>
      <c r="L30" s="55"/>
      <c r="M30" s="53"/>
      <c r="N30" s="55"/>
      <c r="O30" s="55"/>
      <c r="P30" s="57">
        <v>3.5</v>
      </c>
      <c r="Q30" s="55">
        <v>38112.887487603017</v>
      </c>
      <c r="R30" s="55">
        <v>0</v>
      </c>
      <c r="S30" s="57">
        <v>3</v>
      </c>
      <c r="T30" s="55">
        <v>29060.004847988515</v>
      </c>
      <c r="U30" s="55">
        <v>3487.2005817586219</v>
      </c>
      <c r="V30" s="50"/>
      <c r="W30" s="50"/>
      <c r="X30" s="50"/>
      <c r="Y30" s="50">
        <v>2</v>
      </c>
      <c r="Z30" s="55">
        <v>0</v>
      </c>
      <c r="AA30" s="55">
        <v>0</v>
      </c>
      <c r="AB30" s="53">
        <v>3</v>
      </c>
      <c r="AC30" s="55">
        <v>83499.835293522818</v>
      </c>
      <c r="AD30" s="55">
        <v>54274.892940789832</v>
      </c>
      <c r="AE30" s="317">
        <f>MAX(Table1345[[#This Row],[Protection/GBV PiN]],Table1345[[#This Row],[CP_PiN]])</f>
        <v>38112.887487603017</v>
      </c>
      <c r="AF30" s="317">
        <f>MAX(Table1345[[#This Row],[Protection/GBV Target]],Table1345[[#This Row],[CP_Target]])</f>
        <v>3487.2005817586219</v>
      </c>
    </row>
    <row r="31" spans="1:32" x14ac:dyDescent="0.2">
      <c r="A31" s="3" t="s">
        <v>25</v>
      </c>
      <c r="B31" s="3" t="s">
        <v>28</v>
      </c>
      <c r="C31" s="223" t="s">
        <v>518</v>
      </c>
      <c r="D31" s="50">
        <v>3</v>
      </c>
      <c r="E31" s="55">
        <v>15523</v>
      </c>
      <c r="F31" s="55">
        <v>14693.450879999999</v>
      </c>
      <c r="G31" s="50">
        <v>3</v>
      </c>
      <c r="H31" s="55">
        <v>0</v>
      </c>
      <c r="I31" s="55"/>
      <c r="J31" s="50" t="s">
        <v>400</v>
      </c>
      <c r="K31" s="55">
        <v>0</v>
      </c>
      <c r="L31" s="55"/>
      <c r="M31" s="53"/>
      <c r="N31" s="55"/>
      <c r="O31" s="55"/>
      <c r="P31" s="57">
        <v>3.5</v>
      </c>
      <c r="Q31" s="55">
        <v>12022.007490300379</v>
      </c>
      <c r="R31" s="55">
        <v>0</v>
      </c>
      <c r="S31" s="57">
        <v>2</v>
      </c>
      <c r="T31" s="55"/>
      <c r="U31" s="55">
        <v>0</v>
      </c>
      <c r="V31" s="50"/>
      <c r="W31" s="50"/>
      <c r="X31" s="50"/>
      <c r="Y31" s="50">
        <v>2</v>
      </c>
      <c r="Z31" s="55">
        <v>0</v>
      </c>
      <c r="AA31" s="55">
        <v>0</v>
      </c>
      <c r="AB31" s="53">
        <v>2</v>
      </c>
      <c r="AC31" s="55"/>
      <c r="AD31" s="55"/>
      <c r="AE31" s="317">
        <f>MAX(Table1345[[#This Row],[Protection/GBV PiN]],Table1345[[#This Row],[CP_PiN]])</f>
        <v>12022.007490300379</v>
      </c>
      <c r="AF31" s="317">
        <f>MAX(Table1345[[#This Row],[Protection/GBV Target]],Table1345[[#This Row],[CP_Target]])</f>
        <v>0</v>
      </c>
    </row>
    <row r="32" spans="1:32" x14ac:dyDescent="0.2">
      <c r="A32" s="3" t="s">
        <v>25</v>
      </c>
      <c r="B32" s="3" t="s">
        <v>102</v>
      </c>
      <c r="C32" s="223" t="s">
        <v>518</v>
      </c>
      <c r="D32" s="50">
        <v>3</v>
      </c>
      <c r="E32" s="55">
        <v>25589</v>
      </c>
      <c r="F32" s="55">
        <v>24221.523839999998</v>
      </c>
      <c r="G32" s="50">
        <v>4</v>
      </c>
      <c r="H32" s="55">
        <v>43841</v>
      </c>
      <c r="I32" s="55"/>
      <c r="J32" s="50" t="s">
        <v>399</v>
      </c>
      <c r="K32" s="55">
        <v>16643.128220126328</v>
      </c>
      <c r="L32" s="55"/>
      <c r="M32" s="53"/>
      <c r="N32" s="55"/>
      <c r="O32" s="55"/>
      <c r="P32" s="57">
        <v>3.5</v>
      </c>
      <c r="Q32" s="55">
        <v>19817.305634268821</v>
      </c>
      <c r="R32" s="55">
        <v>0</v>
      </c>
      <c r="S32" s="57">
        <v>2</v>
      </c>
      <c r="T32" s="55"/>
      <c r="U32" s="55">
        <v>0</v>
      </c>
      <c r="V32" s="50"/>
      <c r="W32" s="50"/>
      <c r="X32" s="50"/>
      <c r="Y32" s="50">
        <v>2</v>
      </c>
      <c r="Z32" s="55">
        <v>0</v>
      </c>
      <c r="AA32" s="55">
        <v>0</v>
      </c>
      <c r="AB32" s="53">
        <v>3</v>
      </c>
      <c r="AC32" s="55">
        <v>19039.738683824522</v>
      </c>
      <c r="AD32" s="55">
        <v>12375.830144485939</v>
      </c>
      <c r="AE32" s="317">
        <f>MAX(Table1345[[#This Row],[Protection/GBV PiN]],Table1345[[#This Row],[CP_PiN]])</f>
        <v>19817.305634268821</v>
      </c>
      <c r="AF32" s="317">
        <f>MAX(Table1345[[#This Row],[Protection/GBV Target]],Table1345[[#This Row],[CP_Target]])</f>
        <v>0</v>
      </c>
    </row>
    <row r="33" spans="1:32" x14ac:dyDescent="0.2">
      <c r="A33" s="3" t="s">
        <v>25</v>
      </c>
      <c r="B33" s="3" t="s">
        <v>33</v>
      </c>
      <c r="C33" s="223" t="s">
        <v>517</v>
      </c>
      <c r="D33" s="50">
        <v>3</v>
      </c>
      <c r="E33" s="55">
        <v>33476.093573562634</v>
      </c>
      <c r="F33" s="55">
        <v>25000</v>
      </c>
      <c r="G33" s="50"/>
      <c r="H33" s="55">
        <v>0</v>
      </c>
      <c r="I33" s="55"/>
      <c r="J33" s="50" t="s">
        <v>399</v>
      </c>
      <c r="K33" s="55">
        <v>8513.4893649646256</v>
      </c>
      <c r="L33" s="55"/>
      <c r="M33" s="53"/>
      <c r="N33" s="55"/>
      <c r="O33" s="55"/>
      <c r="P33" s="57">
        <v>3.5</v>
      </c>
      <c r="Q33" s="55">
        <v>10502.485914548004</v>
      </c>
      <c r="R33" s="55">
        <v>0</v>
      </c>
      <c r="S33" s="57">
        <v>1</v>
      </c>
      <c r="T33" s="55"/>
      <c r="U33" s="55">
        <v>0</v>
      </c>
      <c r="V33" s="50"/>
      <c r="W33" s="50"/>
      <c r="X33" s="50"/>
      <c r="Y33" s="50">
        <v>2</v>
      </c>
      <c r="Z33" s="55">
        <v>0</v>
      </c>
      <c r="AA33" s="55">
        <v>0</v>
      </c>
      <c r="AB33" s="53">
        <v>3</v>
      </c>
      <c r="AC33" s="55">
        <v>10090.402350042761</v>
      </c>
      <c r="AD33" s="55">
        <v>6558.7615275277949</v>
      </c>
      <c r="AE33" s="317">
        <f>MAX(Table1345[[#This Row],[Protection/GBV PiN]],Table1345[[#This Row],[CP_PiN]])</f>
        <v>10502.485914548004</v>
      </c>
      <c r="AF33" s="317">
        <f>MAX(Table1345[[#This Row],[Protection/GBV Target]],Table1345[[#This Row],[CP_Target]])</f>
        <v>0</v>
      </c>
    </row>
    <row r="34" spans="1:32" x14ac:dyDescent="0.2">
      <c r="A34" s="3" t="s">
        <v>25</v>
      </c>
      <c r="B34" s="3" t="s">
        <v>29</v>
      </c>
      <c r="C34" s="223" t="s">
        <v>518</v>
      </c>
      <c r="D34" s="50">
        <v>3</v>
      </c>
      <c r="E34" s="55">
        <v>65582</v>
      </c>
      <c r="F34" s="55">
        <v>22397.423340999998</v>
      </c>
      <c r="G34" s="50">
        <v>4</v>
      </c>
      <c r="H34" s="55">
        <v>21899</v>
      </c>
      <c r="I34" s="55"/>
      <c r="J34" s="50" t="s">
        <v>402</v>
      </c>
      <c r="K34" s="55">
        <v>18957.388738626945</v>
      </c>
      <c r="L34" s="55">
        <v>18957.388738626945</v>
      </c>
      <c r="M34" s="53"/>
      <c r="N34" s="55"/>
      <c r="O34" s="55"/>
      <c r="P34" s="57">
        <v>3.5</v>
      </c>
      <c r="Q34" s="55">
        <v>22572.94191885788</v>
      </c>
      <c r="R34" s="55">
        <v>12352</v>
      </c>
      <c r="S34" s="57">
        <v>3</v>
      </c>
      <c r="T34" s="55">
        <v>21215.299657066666</v>
      </c>
      <c r="U34" s="55">
        <v>2545.8359588479998</v>
      </c>
      <c r="V34" s="50"/>
      <c r="W34" s="50"/>
      <c r="X34" s="50"/>
      <c r="Y34" s="50">
        <v>3</v>
      </c>
      <c r="Z34" s="55">
        <v>41211.714649189009</v>
      </c>
      <c r="AA34" s="55">
        <v>28848.200254432304</v>
      </c>
      <c r="AB34" s="53">
        <v>2</v>
      </c>
      <c r="AC34" s="55"/>
      <c r="AD34" s="55"/>
      <c r="AE34" s="317">
        <f>MAX(Table1345[[#This Row],[Protection/GBV PiN]],Table1345[[#This Row],[CP_PiN]])</f>
        <v>22572.94191885788</v>
      </c>
      <c r="AF34" s="317">
        <f>MAX(Table1345[[#This Row],[Protection/GBV Target]],Table1345[[#This Row],[CP_Target]])</f>
        <v>12352</v>
      </c>
    </row>
    <row r="35" spans="1:32" x14ac:dyDescent="0.2">
      <c r="A35" s="3" t="s">
        <v>25</v>
      </c>
      <c r="B35" s="3" t="s">
        <v>30</v>
      </c>
      <c r="C35" s="223" t="s">
        <v>518</v>
      </c>
      <c r="D35" s="50">
        <v>3</v>
      </c>
      <c r="E35" s="55">
        <v>54576</v>
      </c>
      <c r="F35" s="55">
        <v>52242.756159999997</v>
      </c>
      <c r="G35" s="50">
        <v>3</v>
      </c>
      <c r="H35" s="55">
        <v>0</v>
      </c>
      <c r="I35" s="55"/>
      <c r="J35" s="50" t="s">
        <v>401</v>
      </c>
      <c r="K35" s="55">
        <v>0</v>
      </c>
      <c r="L35" s="55"/>
      <c r="M35" s="53"/>
      <c r="N35" s="55"/>
      <c r="O35" s="55"/>
      <c r="P35" s="57">
        <v>3.5</v>
      </c>
      <c r="Q35" s="55">
        <v>33813.50537025684</v>
      </c>
      <c r="R35" s="55">
        <v>0</v>
      </c>
      <c r="S35" s="57">
        <v>3</v>
      </c>
      <c r="T35" s="55">
        <v>18922.374036287423</v>
      </c>
      <c r="U35" s="55">
        <v>2270.6848843544908</v>
      </c>
      <c r="V35" s="50"/>
      <c r="W35" s="50"/>
      <c r="X35" s="50"/>
      <c r="Y35" s="50">
        <v>2</v>
      </c>
      <c r="Z35" s="55">
        <v>0</v>
      </c>
      <c r="AA35" s="55">
        <v>0</v>
      </c>
      <c r="AB35" s="53">
        <v>3</v>
      </c>
      <c r="AC35" s="55">
        <v>123467.5160745155</v>
      </c>
      <c r="AD35" s="55">
        <v>80253.885448435074</v>
      </c>
      <c r="AE35" s="317">
        <f>MAX(Table1345[[#This Row],[Protection/GBV PiN]],Table1345[[#This Row],[CP_PiN]])</f>
        <v>33813.50537025684</v>
      </c>
      <c r="AF35" s="317">
        <f>MAX(Table1345[[#This Row],[Protection/GBV Target]],Table1345[[#This Row],[CP_Target]])</f>
        <v>2270.6848843544908</v>
      </c>
    </row>
    <row r="36" spans="1:32" x14ac:dyDescent="0.2">
      <c r="A36" s="3" t="s">
        <v>25</v>
      </c>
      <c r="B36" s="3" t="s">
        <v>31</v>
      </c>
      <c r="C36" s="223" t="s">
        <v>518</v>
      </c>
      <c r="D36" s="50">
        <v>3</v>
      </c>
      <c r="E36" s="55">
        <v>47945</v>
      </c>
      <c r="F36" s="55">
        <v>46809.858240000001</v>
      </c>
      <c r="G36" s="50">
        <v>4</v>
      </c>
      <c r="H36" s="55">
        <v>41007</v>
      </c>
      <c r="I36" s="55"/>
      <c r="J36" s="50" t="s">
        <v>401</v>
      </c>
      <c r="K36" s="55">
        <v>0</v>
      </c>
      <c r="L36" s="55"/>
      <c r="M36" s="53"/>
      <c r="N36" s="55"/>
      <c r="O36" s="55"/>
      <c r="P36" s="57">
        <v>3.5</v>
      </c>
      <c r="Q36" s="55">
        <v>24753.972051278368</v>
      </c>
      <c r="R36" s="55">
        <v>0</v>
      </c>
      <c r="S36" s="57">
        <v>2.6666666666666665</v>
      </c>
      <c r="T36" s="55">
        <v>20414.916079999999</v>
      </c>
      <c r="U36" s="55">
        <v>2449.7899295999996</v>
      </c>
      <c r="V36" s="50"/>
      <c r="W36" s="50"/>
      <c r="X36" s="50"/>
      <c r="Y36" s="50">
        <v>3</v>
      </c>
      <c r="Z36" s="55">
        <v>48809.141811495552</v>
      </c>
      <c r="AA36" s="55">
        <v>34166.399268046887</v>
      </c>
      <c r="AB36" s="53">
        <v>3</v>
      </c>
      <c r="AC36" s="55">
        <v>54232.379790550614</v>
      </c>
      <c r="AD36" s="55">
        <v>35251.046863857904</v>
      </c>
      <c r="AE36" s="317">
        <f>MAX(Table1345[[#This Row],[Protection/GBV PiN]],Table1345[[#This Row],[CP_PiN]])</f>
        <v>24753.972051278368</v>
      </c>
      <c r="AF36" s="317">
        <f>MAX(Table1345[[#This Row],[Protection/GBV Target]],Table1345[[#This Row],[CP_Target]])</f>
        <v>2449.7899295999996</v>
      </c>
    </row>
    <row r="37" spans="1:32" x14ac:dyDescent="0.2">
      <c r="A37" s="3" t="s">
        <v>25</v>
      </c>
      <c r="B37" s="3" t="s">
        <v>34</v>
      </c>
      <c r="C37" s="223" t="s">
        <v>517</v>
      </c>
      <c r="D37" s="50">
        <v>3</v>
      </c>
      <c r="E37" s="55">
        <v>36376.699208884071</v>
      </c>
      <c r="F37" s="55">
        <v>17000</v>
      </c>
      <c r="G37" s="50"/>
      <c r="H37" s="55">
        <v>0</v>
      </c>
      <c r="I37" s="55"/>
      <c r="J37" s="50" t="s">
        <v>399</v>
      </c>
      <c r="K37" s="55">
        <v>7782.9534860393087</v>
      </c>
      <c r="L37" s="55"/>
      <c r="M37" s="53"/>
      <c r="N37" s="55"/>
      <c r="O37" s="55"/>
      <c r="P37" s="57">
        <v>3.5</v>
      </c>
      <c r="Q37" s="55">
        <v>9601.2757938119266</v>
      </c>
      <c r="R37" s="55">
        <v>1282</v>
      </c>
      <c r="S37" s="57">
        <v>1.5</v>
      </c>
      <c r="T37" s="55"/>
      <c r="U37" s="55">
        <v>0</v>
      </c>
      <c r="V37" s="50"/>
      <c r="W37" s="50"/>
      <c r="X37" s="50"/>
      <c r="Y37" s="50">
        <v>3</v>
      </c>
      <c r="Z37" s="55">
        <v>27345.512248246221</v>
      </c>
      <c r="AA37" s="55">
        <v>19141.858573772355</v>
      </c>
      <c r="AB37" s="53">
        <v>2</v>
      </c>
      <c r="AC37" s="55"/>
      <c r="AD37" s="55"/>
      <c r="AE37" s="317">
        <f>MAX(Table1345[[#This Row],[Protection/GBV PiN]],Table1345[[#This Row],[CP_PiN]])</f>
        <v>9601.2757938119266</v>
      </c>
      <c r="AF37" s="317">
        <f>MAX(Table1345[[#This Row],[Protection/GBV Target]],Table1345[[#This Row],[CP_Target]])</f>
        <v>1282</v>
      </c>
    </row>
    <row r="38" spans="1:32" x14ac:dyDescent="0.2">
      <c r="A38" s="3" t="s">
        <v>25</v>
      </c>
      <c r="B38" s="3" t="s">
        <v>32</v>
      </c>
      <c r="C38" s="223" t="s">
        <v>518</v>
      </c>
      <c r="D38" s="50">
        <v>3</v>
      </c>
      <c r="E38" s="55">
        <v>22039</v>
      </c>
      <c r="F38" s="55">
        <v>20861.235839999998</v>
      </c>
      <c r="G38" s="50">
        <v>3</v>
      </c>
      <c r="H38" s="55">
        <v>0</v>
      </c>
      <c r="I38" s="55"/>
      <c r="J38" s="50" t="s">
        <v>402</v>
      </c>
      <c r="K38" s="55">
        <v>14035.12379210546</v>
      </c>
      <c r="L38" s="55">
        <v>14035.12379210546</v>
      </c>
      <c r="M38" s="53"/>
      <c r="N38" s="55"/>
      <c r="O38" s="55"/>
      <c r="P38" s="57">
        <v>3.5</v>
      </c>
      <c r="Q38" s="55">
        <v>17068.106564827878</v>
      </c>
      <c r="R38" s="55">
        <v>0</v>
      </c>
      <c r="S38" s="57">
        <v>1.6666666666666667</v>
      </c>
      <c r="T38" s="55"/>
      <c r="U38" s="55">
        <v>0</v>
      </c>
      <c r="V38" s="50"/>
      <c r="W38" s="50"/>
      <c r="X38" s="50"/>
      <c r="Y38" s="50">
        <v>2</v>
      </c>
      <c r="Z38" s="55">
        <v>0</v>
      </c>
      <c r="AA38" s="55">
        <v>0</v>
      </c>
      <c r="AB38" s="53">
        <v>2</v>
      </c>
      <c r="AC38" s="55"/>
      <c r="AD38" s="55"/>
      <c r="AE38" s="317">
        <f>MAX(Table1345[[#This Row],[Protection/GBV PiN]],Table1345[[#This Row],[CP_PiN]])</f>
        <v>17068.106564827878</v>
      </c>
      <c r="AF38" s="317">
        <f>MAX(Table1345[[#This Row],[Protection/GBV Target]],Table1345[[#This Row],[CP_Target]])</f>
        <v>0</v>
      </c>
    </row>
    <row r="39" spans="1:32" x14ac:dyDescent="0.2">
      <c r="A39" s="3" t="s">
        <v>25</v>
      </c>
      <c r="B39" s="3" t="s">
        <v>101</v>
      </c>
      <c r="C39" s="223" t="s">
        <v>518</v>
      </c>
      <c r="D39" s="50">
        <v>3</v>
      </c>
      <c r="E39" s="55">
        <v>43106</v>
      </c>
      <c r="F39" s="55">
        <v>12092.332203</v>
      </c>
      <c r="G39" s="50">
        <v>4</v>
      </c>
      <c r="H39" s="55">
        <v>17754</v>
      </c>
      <c r="I39" s="55"/>
      <c r="J39" s="50" t="s">
        <v>400</v>
      </c>
      <c r="K39" s="55">
        <v>0</v>
      </c>
      <c r="L39" s="55"/>
      <c r="M39" s="53"/>
      <c r="N39" s="55"/>
      <c r="O39" s="55"/>
      <c r="P39" s="57">
        <v>3.5</v>
      </c>
      <c r="Q39" s="55">
        <v>32426.203423355226</v>
      </c>
      <c r="R39" s="55">
        <v>8500</v>
      </c>
      <c r="S39" s="57">
        <v>3</v>
      </c>
      <c r="T39" s="55">
        <v>15133.461964399999</v>
      </c>
      <c r="U39" s="55">
        <v>1816.0154357279998</v>
      </c>
      <c r="V39" s="50"/>
      <c r="W39" s="50"/>
      <c r="X39" s="50"/>
      <c r="Y39" s="50">
        <v>3</v>
      </c>
      <c r="Z39" s="55">
        <v>45972.878199463928</v>
      </c>
      <c r="AA39" s="55">
        <v>32181.014739624748</v>
      </c>
      <c r="AB39" s="53">
        <v>4</v>
      </c>
      <c r="AC39" s="55">
        <v>44858.384182507223</v>
      </c>
      <c r="AD39" s="55">
        <v>29157.949718629698</v>
      </c>
      <c r="AE39" s="317">
        <f>MAX(Table1345[[#This Row],[Protection/GBV PiN]],Table1345[[#This Row],[CP_PiN]])</f>
        <v>32426.203423355226</v>
      </c>
      <c r="AF39" s="317">
        <f>MAX(Table1345[[#This Row],[Protection/GBV Target]],Table1345[[#This Row],[CP_Target]])</f>
        <v>8500</v>
      </c>
    </row>
    <row r="40" spans="1:32" x14ac:dyDescent="0.2">
      <c r="A40" s="3" t="s">
        <v>35</v>
      </c>
      <c r="B40" s="3" t="s">
        <v>99</v>
      </c>
      <c r="C40" s="223" t="s">
        <v>518</v>
      </c>
      <c r="D40" s="50">
        <v>3</v>
      </c>
      <c r="E40" s="55">
        <v>58818</v>
      </c>
      <c r="F40" s="55">
        <v>56123.822399999997</v>
      </c>
      <c r="G40" s="50">
        <v>4</v>
      </c>
      <c r="H40" s="55">
        <v>49873</v>
      </c>
      <c r="I40" s="55"/>
      <c r="J40" s="50" t="s">
        <v>401</v>
      </c>
      <c r="K40" s="55">
        <v>0</v>
      </c>
      <c r="L40" s="55"/>
      <c r="M40" s="53"/>
      <c r="N40" s="55"/>
      <c r="O40" s="55"/>
      <c r="P40" s="57">
        <v>3.5</v>
      </c>
      <c r="Q40" s="55">
        <v>25207.614597711596</v>
      </c>
      <c r="R40" s="55">
        <v>10540</v>
      </c>
      <c r="S40" s="57">
        <v>3</v>
      </c>
      <c r="T40" s="55">
        <v>25996.19059292406</v>
      </c>
      <c r="U40" s="55">
        <v>3119.5428711508871</v>
      </c>
      <c r="V40" s="50"/>
      <c r="W40" s="50"/>
      <c r="X40" s="50"/>
      <c r="Y40" s="50">
        <v>2</v>
      </c>
      <c r="Z40" s="55">
        <v>0</v>
      </c>
      <c r="AA40" s="55">
        <v>0</v>
      </c>
      <c r="AB40" s="53">
        <v>4</v>
      </c>
      <c r="AC40" s="55">
        <v>57687.728883312826</v>
      </c>
      <c r="AD40" s="55">
        <v>37497.023774153335</v>
      </c>
      <c r="AE40" s="317">
        <f>MAX(Table1345[[#This Row],[Protection/GBV PiN]],Table1345[[#This Row],[CP_PiN]])</f>
        <v>25996.19059292406</v>
      </c>
      <c r="AF40" s="317">
        <f>MAX(Table1345[[#This Row],[Protection/GBV Target]],Table1345[[#This Row],[CP_Target]])</f>
        <v>10540</v>
      </c>
    </row>
    <row r="41" spans="1:32" x14ac:dyDescent="0.2">
      <c r="A41" s="3" t="s">
        <v>35</v>
      </c>
      <c r="B41" s="3" t="s">
        <v>41</v>
      </c>
      <c r="C41" s="223" t="s">
        <v>517</v>
      </c>
      <c r="D41" s="50">
        <v>3</v>
      </c>
      <c r="E41" s="55">
        <v>22562.394974072144</v>
      </c>
      <c r="F41" s="55">
        <v>20000</v>
      </c>
      <c r="G41" s="50"/>
      <c r="H41" s="55">
        <v>0</v>
      </c>
      <c r="I41" s="55"/>
      <c r="J41" s="50" t="s">
        <v>401</v>
      </c>
      <c r="K41" s="55">
        <v>0</v>
      </c>
      <c r="L41" s="55"/>
      <c r="M41" s="53"/>
      <c r="N41" s="55"/>
      <c r="O41" s="55"/>
      <c r="P41" s="57">
        <v>3.5</v>
      </c>
      <c r="Q41" s="55">
        <v>8299.4580228318609</v>
      </c>
      <c r="R41" s="55">
        <v>3300</v>
      </c>
      <c r="S41" s="57">
        <v>1</v>
      </c>
      <c r="T41" s="55"/>
      <c r="U41" s="55">
        <v>0</v>
      </c>
      <c r="V41" s="50"/>
      <c r="W41" s="50"/>
      <c r="X41" s="50"/>
      <c r="Y41" s="50">
        <v>3</v>
      </c>
      <c r="Z41" s="55">
        <v>16460.897749151602</v>
      </c>
      <c r="AA41" s="55">
        <v>11522.628424406121</v>
      </c>
      <c r="AB41" s="53">
        <v>3</v>
      </c>
      <c r="AC41" s="55">
        <v>8531.1768142237634</v>
      </c>
      <c r="AD41" s="55">
        <v>5545.2649292454462</v>
      </c>
      <c r="AE41" s="317">
        <f>MAX(Table1345[[#This Row],[Protection/GBV PiN]],Table1345[[#This Row],[CP_PiN]])</f>
        <v>8299.4580228318609</v>
      </c>
      <c r="AF41" s="317">
        <f>MAX(Table1345[[#This Row],[Protection/GBV Target]],Table1345[[#This Row],[CP_Target]])</f>
        <v>3300</v>
      </c>
    </row>
    <row r="42" spans="1:32" x14ac:dyDescent="0.2">
      <c r="A42" s="3" t="s">
        <v>35</v>
      </c>
      <c r="B42" s="3" t="s">
        <v>40</v>
      </c>
      <c r="C42" s="223" t="s">
        <v>517</v>
      </c>
      <c r="D42" s="50">
        <v>3</v>
      </c>
      <c r="E42" s="55">
        <v>49598.736603060657</v>
      </c>
      <c r="F42" s="55">
        <v>30000</v>
      </c>
      <c r="G42" s="50"/>
      <c r="H42" s="55">
        <v>0</v>
      </c>
      <c r="I42" s="55"/>
      <c r="J42" s="50" t="s">
        <v>399</v>
      </c>
      <c r="K42" s="55">
        <v>10903.260709592078</v>
      </c>
      <c r="L42" s="55"/>
      <c r="M42" s="53"/>
      <c r="N42" s="55"/>
      <c r="O42" s="55"/>
      <c r="P42" s="57">
        <v>3.5</v>
      </c>
      <c r="Q42" s="55">
        <v>12784.512043116509</v>
      </c>
      <c r="R42" s="55">
        <v>0</v>
      </c>
      <c r="S42" s="57">
        <v>1</v>
      </c>
      <c r="T42" s="55"/>
      <c r="U42" s="55">
        <v>0</v>
      </c>
      <c r="V42" s="50"/>
      <c r="W42" s="50"/>
      <c r="X42" s="50"/>
      <c r="Y42" s="50">
        <v>2</v>
      </c>
      <c r="Z42" s="55">
        <v>0</v>
      </c>
      <c r="AA42" s="55">
        <v>0</v>
      </c>
      <c r="AB42" s="53">
        <v>3</v>
      </c>
      <c r="AC42" s="55">
        <v>48762.346643971723</v>
      </c>
      <c r="AD42" s="55">
        <v>31695.525318581622</v>
      </c>
      <c r="AE42" s="317">
        <f>MAX(Table1345[[#This Row],[Protection/GBV PiN]],Table1345[[#This Row],[CP_PiN]])</f>
        <v>12784.512043116509</v>
      </c>
      <c r="AF42" s="317">
        <f>MAX(Table1345[[#This Row],[Protection/GBV Target]],Table1345[[#This Row],[CP_Target]])</f>
        <v>0</v>
      </c>
    </row>
    <row r="43" spans="1:32" x14ac:dyDescent="0.2">
      <c r="A43" s="3" t="s">
        <v>35</v>
      </c>
      <c r="B43" s="3" t="s">
        <v>36</v>
      </c>
      <c r="C43" s="223" t="s">
        <v>518</v>
      </c>
      <c r="D43" s="50">
        <v>3</v>
      </c>
      <c r="E43" s="55">
        <v>90010</v>
      </c>
      <c r="F43" s="55">
        <v>86161.892479999995</v>
      </c>
      <c r="G43" s="50">
        <v>4</v>
      </c>
      <c r="H43" s="55">
        <v>66787</v>
      </c>
      <c r="I43" s="55"/>
      <c r="J43" s="50" t="s">
        <v>399</v>
      </c>
      <c r="K43" s="55">
        <v>46388.438001009017</v>
      </c>
      <c r="L43" s="55"/>
      <c r="M43" s="53"/>
      <c r="N43" s="55"/>
      <c r="O43" s="55"/>
      <c r="P43" s="57">
        <v>3.5</v>
      </c>
      <c r="Q43" s="55">
        <v>54005.864454283059</v>
      </c>
      <c r="R43" s="55">
        <v>20900</v>
      </c>
      <c r="S43" s="57">
        <v>3</v>
      </c>
      <c r="T43" s="55">
        <v>44735.551471681567</v>
      </c>
      <c r="U43" s="55">
        <v>5368.2661766017882</v>
      </c>
      <c r="V43" s="50"/>
      <c r="W43" s="50"/>
      <c r="X43" s="50"/>
      <c r="Y43" s="50">
        <v>3</v>
      </c>
      <c r="Z43" s="55">
        <v>135951.90533155395</v>
      </c>
      <c r="AA43" s="55">
        <v>95166.333732087762</v>
      </c>
      <c r="AB43" s="53">
        <v>4</v>
      </c>
      <c r="AC43" s="55">
        <v>123592.64121050359</v>
      </c>
      <c r="AD43" s="55">
        <v>80335.216786827339</v>
      </c>
      <c r="AE43" s="317">
        <f>MAX(Table1345[[#This Row],[Protection/GBV PiN]],Table1345[[#This Row],[CP_PiN]])</f>
        <v>54005.864454283059</v>
      </c>
      <c r="AF43" s="317">
        <f>MAX(Table1345[[#This Row],[Protection/GBV Target]],Table1345[[#This Row],[CP_Target]])</f>
        <v>20900</v>
      </c>
    </row>
    <row r="44" spans="1:32" x14ac:dyDescent="0.2">
      <c r="A44" s="3" t="s">
        <v>35</v>
      </c>
      <c r="B44" s="3" t="s">
        <v>37</v>
      </c>
      <c r="C44" s="223" t="s">
        <v>517</v>
      </c>
      <c r="D44" s="50">
        <v>3</v>
      </c>
      <c r="E44" s="55">
        <v>50508.189929658758</v>
      </c>
      <c r="F44" s="55"/>
      <c r="G44" s="50"/>
      <c r="H44" s="55">
        <v>0</v>
      </c>
      <c r="I44" s="55"/>
      <c r="J44" s="50" t="s">
        <v>399</v>
      </c>
      <c r="K44" s="55">
        <v>12937.592097361312</v>
      </c>
      <c r="L44" s="55"/>
      <c r="M44" s="53"/>
      <c r="N44" s="55"/>
      <c r="O44" s="55"/>
      <c r="P44" s="57">
        <v>3.5</v>
      </c>
      <c r="Q44" s="55">
        <v>15169.847478024101</v>
      </c>
      <c r="R44" s="55">
        <v>1885</v>
      </c>
      <c r="S44" s="57">
        <v>1</v>
      </c>
      <c r="T44" s="55"/>
      <c r="U44" s="55">
        <v>0</v>
      </c>
      <c r="V44" s="50"/>
      <c r="W44" s="50"/>
      <c r="X44" s="50"/>
      <c r="Y44" s="50">
        <v>3</v>
      </c>
      <c r="Z44" s="55">
        <v>28930.21488676501</v>
      </c>
      <c r="AA44" s="55">
        <v>20251.150420735506</v>
      </c>
      <c r="AB44" s="53">
        <v>3</v>
      </c>
      <c r="AC44" s="55">
        <v>34716.257864118008</v>
      </c>
      <c r="AD44" s="55">
        <v>22565.567611676706</v>
      </c>
      <c r="AE44" s="317">
        <f>MAX(Table1345[[#This Row],[Protection/GBV PiN]],Table1345[[#This Row],[CP_PiN]])</f>
        <v>15169.847478024101</v>
      </c>
      <c r="AF44" s="317">
        <f>MAX(Table1345[[#This Row],[Protection/GBV Target]],Table1345[[#This Row],[CP_Target]])</f>
        <v>1885</v>
      </c>
    </row>
    <row r="45" spans="1:32" x14ac:dyDescent="0.2">
      <c r="A45" s="3" t="s">
        <v>35</v>
      </c>
      <c r="B45" s="3" t="s">
        <v>100</v>
      </c>
      <c r="C45" s="223" t="s">
        <v>518</v>
      </c>
      <c r="D45" s="50">
        <v>4</v>
      </c>
      <c r="E45" s="55">
        <v>20360</v>
      </c>
      <c r="F45" s="55">
        <v>7851.4991799999998</v>
      </c>
      <c r="G45" s="50">
        <v>5</v>
      </c>
      <c r="H45" s="55">
        <v>18562</v>
      </c>
      <c r="I45" s="55">
        <v>18562</v>
      </c>
      <c r="J45" s="50" t="s">
        <v>399</v>
      </c>
      <c r="K45" s="55">
        <v>11609.234867298077</v>
      </c>
      <c r="L45" s="55">
        <v>5804.6174336490385</v>
      </c>
      <c r="M45" s="53"/>
      <c r="N45" s="55"/>
      <c r="O45" s="55"/>
      <c r="P45" s="57">
        <v>3.5</v>
      </c>
      <c r="Q45" s="55">
        <v>6786.7222563062114</v>
      </c>
      <c r="R45" s="55">
        <v>2000.0000000000002</v>
      </c>
      <c r="S45" s="57">
        <v>2.6666666666666665</v>
      </c>
      <c r="T45" s="55">
        <v>8072.1891391425079</v>
      </c>
      <c r="U45" s="55">
        <v>968.66269669710096</v>
      </c>
      <c r="V45" s="50"/>
      <c r="W45" s="50"/>
      <c r="X45" s="50"/>
      <c r="Y45" s="50">
        <v>3</v>
      </c>
      <c r="Z45" s="55">
        <v>29509.739004459076</v>
      </c>
      <c r="AA45" s="55">
        <v>20656.817303121352</v>
      </c>
      <c r="AB45" s="53">
        <v>2</v>
      </c>
      <c r="AC45" s="55"/>
      <c r="AD45" s="55"/>
      <c r="AE45" s="317">
        <f>MAX(Table1345[[#This Row],[Protection/GBV PiN]],Table1345[[#This Row],[CP_PiN]])</f>
        <v>8072.1891391425079</v>
      </c>
      <c r="AF45" s="317">
        <f>MAX(Table1345[[#This Row],[Protection/GBV Target]],Table1345[[#This Row],[CP_Target]])</f>
        <v>2000.0000000000002</v>
      </c>
    </row>
    <row r="46" spans="1:32" x14ac:dyDescent="0.2">
      <c r="A46" s="3" t="s">
        <v>35</v>
      </c>
      <c r="B46" s="3" t="s">
        <v>42</v>
      </c>
      <c r="C46" s="223" t="s">
        <v>517</v>
      </c>
      <c r="D46" s="50">
        <v>3</v>
      </c>
      <c r="E46" s="55">
        <v>15535.563366154058</v>
      </c>
      <c r="F46" s="55">
        <v>10000</v>
      </c>
      <c r="G46" s="50"/>
      <c r="H46" s="55">
        <v>0</v>
      </c>
      <c r="I46" s="55"/>
      <c r="J46" s="50" t="s">
        <v>402</v>
      </c>
      <c r="K46" s="55">
        <v>3700.8321552877624</v>
      </c>
      <c r="L46" s="55">
        <v>3700.8321552877624</v>
      </c>
      <c r="M46" s="53"/>
      <c r="N46" s="55"/>
      <c r="O46" s="55"/>
      <c r="P46" s="57">
        <v>3.5</v>
      </c>
      <c r="Q46" s="55">
        <v>4339.3746622242652</v>
      </c>
      <c r="R46" s="55">
        <v>0</v>
      </c>
      <c r="S46" s="57">
        <v>1</v>
      </c>
      <c r="T46" s="55"/>
      <c r="U46" s="55">
        <v>0</v>
      </c>
      <c r="V46" s="50"/>
      <c r="W46" s="50"/>
      <c r="X46" s="50"/>
      <c r="Y46" s="50">
        <v>1</v>
      </c>
      <c r="Z46" s="55">
        <v>0</v>
      </c>
      <c r="AA46" s="55">
        <v>0</v>
      </c>
      <c r="AB46" s="53">
        <v>2</v>
      </c>
      <c r="AC46" s="55"/>
      <c r="AD46" s="55"/>
      <c r="AE46" s="317">
        <f>MAX(Table1345[[#This Row],[Protection/GBV PiN]],Table1345[[#This Row],[CP_PiN]])</f>
        <v>4339.3746622242652</v>
      </c>
      <c r="AF46" s="317">
        <f>MAX(Table1345[[#This Row],[Protection/GBV Target]],Table1345[[#This Row],[CP_Target]])</f>
        <v>0</v>
      </c>
    </row>
    <row r="47" spans="1:32" x14ac:dyDescent="0.2">
      <c r="A47" s="3" t="s">
        <v>35</v>
      </c>
      <c r="B47" s="3" t="s">
        <v>44</v>
      </c>
      <c r="C47" s="223" t="s">
        <v>517</v>
      </c>
      <c r="D47" s="50">
        <v>3</v>
      </c>
      <c r="E47" s="55">
        <v>15625.099018350136</v>
      </c>
      <c r="F47" s="55"/>
      <c r="G47" s="50"/>
      <c r="H47" s="55">
        <v>0</v>
      </c>
      <c r="I47" s="55"/>
      <c r="J47" s="50" t="s">
        <v>402</v>
      </c>
      <c r="K47" s="55">
        <v>4002.3441319481963</v>
      </c>
      <c r="L47" s="55">
        <v>4002.3441319481963</v>
      </c>
      <c r="M47" s="53"/>
      <c r="N47" s="55"/>
      <c r="O47" s="55"/>
      <c r="P47" s="57">
        <v>3.5</v>
      </c>
      <c r="Q47" s="55">
        <v>4692.9095908505278</v>
      </c>
      <c r="R47" s="55">
        <v>5280</v>
      </c>
      <c r="S47" s="57">
        <v>1</v>
      </c>
      <c r="T47" s="55"/>
      <c r="U47" s="55">
        <v>0</v>
      </c>
      <c r="V47" s="50"/>
      <c r="W47" s="50"/>
      <c r="X47" s="50"/>
      <c r="Y47" s="50">
        <v>2</v>
      </c>
      <c r="Z47" s="55">
        <v>0</v>
      </c>
      <c r="AA47" s="55">
        <v>0</v>
      </c>
      <c r="AB47" s="53">
        <v>3</v>
      </c>
      <c r="AC47" s="55">
        <v>10739.742751202672</v>
      </c>
      <c r="AD47" s="55">
        <v>6980.8327882817366</v>
      </c>
      <c r="AE47" s="317">
        <f>MAX(Table1345[[#This Row],[Protection/GBV PiN]],Table1345[[#This Row],[CP_PiN]])</f>
        <v>4692.9095908505278</v>
      </c>
      <c r="AF47" s="317">
        <f>MAX(Table1345[[#This Row],[Protection/GBV Target]],Table1345[[#This Row],[CP_Target]])</f>
        <v>5280</v>
      </c>
    </row>
    <row r="48" spans="1:32" x14ac:dyDescent="0.2">
      <c r="A48" s="3" t="s">
        <v>35</v>
      </c>
      <c r="B48" s="3" t="s">
        <v>38</v>
      </c>
      <c r="C48" s="223" t="s">
        <v>518</v>
      </c>
      <c r="D48" s="50">
        <v>3</v>
      </c>
      <c r="E48" s="55">
        <v>33585</v>
      </c>
      <c r="F48" s="55">
        <v>32238.899839999998</v>
      </c>
      <c r="G48" s="50">
        <v>4</v>
      </c>
      <c r="H48" s="55">
        <v>56110</v>
      </c>
      <c r="I48" s="55"/>
      <c r="J48" s="50" t="s">
        <v>402</v>
      </c>
      <c r="K48" s="55">
        <v>21651.294354980902</v>
      </c>
      <c r="L48" s="55">
        <v>21651.294354980902</v>
      </c>
      <c r="M48" s="53"/>
      <c r="N48" s="55"/>
      <c r="O48" s="55"/>
      <c r="P48" s="57">
        <v>3.5</v>
      </c>
      <c r="Q48" s="55">
        <v>25188.748464629451</v>
      </c>
      <c r="R48" s="55">
        <v>10000</v>
      </c>
      <c r="S48" s="57">
        <v>3</v>
      </c>
      <c r="T48" s="55">
        <v>23845.164828768771</v>
      </c>
      <c r="U48" s="55">
        <v>2861.4197794522524</v>
      </c>
      <c r="V48" s="50"/>
      <c r="W48" s="50"/>
      <c r="X48" s="50"/>
      <c r="Y48" s="50">
        <v>4</v>
      </c>
      <c r="Z48" s="55">
        <v>67251.979270884942</v>
      </c>
      <c r="AA48" s="55">
        <v>47076.385489619453</v>
      </c>
      <c r="AB48" s="53">
        <v>3</v>
      </c>
      <c r="AC48" s="55">
        <v>96074.256101264211</v>
      </c>
      <c r="AD48" s="55">
        <v>62448.26646582174</v>
      </c>
      <c r="AE48" s="317">
        <f>MAX(Table1345[[#This Row],[Protection/GBV PiN]],Table1345[[#This Row],[CP_PiN]])</f>
        <v>25188.748464629451</v>
      </c>
      <c r="AF48" s="317">
        <f>MAX(Table1345[[#This Row],[Protection/GBV Target]],Table1345[[#This Row],[CP_Target]])</f>
        <v>10000</v>
      </c>
    </row>
    <row r="49" spans="1:32" x14ac:dyDescent="0.2">
      <c r="A49" s="3" t="s">
        <v>35</v>
      </c>
      <c r="B49" s="3" t="s">
        <v>45</v>
      </c>
      <c r="C49" s="223" t="s">
        <v>518</v>
      </c>
      <c r="D49" s="50">
        <v>3</v>
      </c>
      <c r="E49" s="55">
        <v>28529</v>
      </c>
      <c r="F49" s="55">
        <v>27309.338879999999</v>
      </c>
      <c r="G49" s="50">
        <v>4</v>
      </c>
      <c r="H49" s="55">
        <v>21092</v>
      </c>
      <c r="I49" s="55"/>
      <c r="J49" s="50" t="s">
        <v>401</v>
      </c>
      <c r="K49" s="55">
        <v>0</v>
      </c>
      <c r="L49" s="55"/>
      <c r="M49" s="53"/>
      <c r="N49" s="55"/>
      <c r="O49" s="55"/>
      <c r="P49" s="57">
        <v>3.5</v>
      </c>
      <c r="Q49" s="55">
        <v>17117.652678757106</v>
      </c>
      <c r="R49" s="55">
        <v>0</v>
      </c>
      <c r="S49" s="57">
        <v>2</v>
      </c>
      <c r="T49" s="55"/>
      <c r="U49" s="55">
        <v>0</v>
      </c>
      <c r="V49" s="50"/>
      <c r="W49" s="50"/>
      <c r="X49" s="50"/>
      <c r="Y49" s="50">
        <v>4</v>
      </c>
      <c r="Z49" s="55">
        <v>44396.993750685913</v>
      </c>
      <c r="AA49" s="55">
        <v>31077.895625480138</v>
      </c>
      <c r="AB49" s="53">
        <v>3</v>
      </c>
      <c r="AC49" s="55">
        <v>39173.818015311095</v>
      </c>
      <c r="AD49" s="55">
        <v>25462.981709952212</v>
      </c>
      <c r="AE49" s="317">
        <f>MAX(Table1345[[#This Row],[Protection/GBV PiN]],Table1345[[#This Row],[CP_PiN]])</f>
        <v>17117.652678757106</v>
      </c>
      <c r="AF49" s="317">
        <f>MAX(Table1345[[#This Row],[Protection/GBV Target]],Table1345[[#This Row],[CP_Target]])</f>
        <v>0</v>
      </c>
    </row>
    <row r="50" spans="1:32" x14ac:dyDescent="0.2">
      <c r="A50" s="3" t="s">
        <v>35</v>
      </c>
      <c r="B50" s="3" t="s">
        <v>43</v>
      </c>
      <c r="C50" s="223" t="s">
        <v>517</v>
      </c>
      <c r="D50" s="50">
        <v>3</v>
      </c>
      <c r="E50" s="55">
        <v>36919.389909435224</v>
      </c>
      <c r="F50" s="55">
        <v>30000</v>
      </c>
      <c r="G50" s="50"/>
      <c r="H50" s="55">
        <v>0</v>
      </c>
      <c r="I50" s="55"/>
      <c r="J50" s="50" t="s">
        <v>402</v>
      </c>
      <c r="K50" s="55">
        <v>9456.8426981231387</v>
      </c>
      <c r="L50" s="55">
        <v>9456.8426981231387</v>
      </c>
      <c r="M50" s="53"/>
      <c r="N50" s="55"/>
      <c r="O50" s="55"/>
      <c r="P50" s="57">
        <v>3.5</v>
      </c>
      <c r="Q50" s="55">
        <v>11088.528705697338</v>
      </c>
      <c r="R50" s="55">
        <v>0</v>
      </c>
      <c r="S50" s="57">
        <v>1</v>
      </c>
      <c r="T50" s="55"/>
      <c r="U50" s="55">
        <v>0</v>
      </c>
      <c r="V50" s="50"/>
      <c r="W50" s="50"/>
      <c r="X50" s="50"/>
      <c r="Y50" s="50">
        <v>2</v>
      </c>
      <c r="Z50" s="55">
        <v>0</v>
      </c>
      <c r="AA50" s="55">
        <v>0</v>
      </c>
      <c r="AB50" s="53">
        <v>3</v>
      </c>
      <c r="AC50" s="55">
        <v>25376.143197110392</v>
      </c>
      <c r="AD50" s="55">
        <v>16494.493078121755</v>
      </c>
      <c r="AE50" s="317">
        <f>MAX(Table1345[[#This Row],[Protection/GBV PiN]],Table1345[[#This Row],[CP_PiN]])</f>
        <v>11088.528705697338</v>
      </c>
      <c r="AF50" s="317">
        <f>MAX(Table1345[[#This Row],[Protection/GBV Target]],Table1345[[#This Row],[CP_Target]])</f>
        <v>0</v>
      </c>
    </row>
    <row r="51" spans="1:32" x14ac:dyDescent="0.2">
      <c r="A51" s="3" t="s">
        <v>35</v>
      </c>
      <c r="B51" s="3" t="s">
        <v>46</v>
      </c>
      <c r="C51" s="223" t="s">
        <v>518</v>
      </c>
      <c r="D51" s="50">
        <v>3</v>
      </c>
      <c r="E51" s="55">
        <v>55563</v>
      </c>
      <c r="F51" s="55">
        <v>53583.47552</v>
      </c>
      <c r="G51" s="50">
        <v>4</v>
      </c>
      <c r="H51" s="55">
        <v>41718.70451128509</v>
      </c>
      <c r="I51" s="55"/>
      <c r="J51" s="50" t="s">
        <v>402</v>
      </c>
      <c r="K51" s="55">
        <v>16247.84366904271</v>
      </c>
      <c r="L51" s="55">
        <v>16247.84366904271</v>
      </c>
      <c r="M51" s="53"/>
      <c r="N51" s="55"/>
      <c r="O51" s="55"/>
      <c r="P51" s="57">
        <v>3.5</v>
      </c>
      <c r="Q51" s="55">
        <v>18521.128926737467</v>
      </c>
      <c r="R51" s="55">
        <v>7980</v>
      </c>
      <c r="S51" s="57">
        <v>2.6666666666666665</v>
      </c>
      <c r="T51" s="55">
        <v>29429.568641668902</v>
      </c>
      <c r="U51" s="55">
        <v>3531.5482370002683</v>
      </c>
      <c r="V51" s="50"/>
      <c r="W51" s="50"/>
      <c r="X51" s="50"/>
      <c r="Y51" s="50">
        <v>2</v>
      </c>
      <c r="Z51" s="55"/>
      <c r="AA51" s="55">
        <v>0</v>
      </c>
      <c r="AB51" s="53">
        <v>3</v>
      </c>
      <c r="AC51" s="55">
        <v>42385.679136633153</v>
      </c>
      <c r="AD51" s="55">
        <v>27550.691438811551</v>
      </c>
      <c r="AE51" s="317">
        <f>MAX(Table1345[[#This Row],[Protection/GBV PiN]],Table1345[[#This Row],[CP_PiN]])</f>
        <v>29429.568641668902</v>
      </c>
      <c r="AF51" s="317">
        <f>MAX(Table1345[[#This Row],[Protection/GBV Target]],Table1345[[#This Row],[CP_Target]])</f>
        <v>7980</v>
      </c>
    </row>
    <row r="52" spans="1:32" x14ac:dyDescent="0.2">
      <c r="A52" s="3" t="s">
        <v>35</v>
      </c>
      <c r="B52" s="3" t="s">
        <v>39</v>
      </c>
      <c r="C52" s="223" t="s">
        <v>518</v>
      </c>
      <c r="D52" s="50">
        <v>3</v>
      </c>
      <c r="E52" s="55">
        <v>71915</v>
      </c>
      <c r="F52" s="55">
        <v>68840.489919999993</v>
      </c>
      <c r="G52" s="50">
        <v>3</v>
      </c>
      <c r="H52" s="55">
        <v>0</v>
      </c>
      <c r="I52" s="55"/>
      <c r="J52" s="50" t="s">
        <v>402</v>
      </c>
      <c r="K52" s="55">
        <v>37853.156787439999</v>
      </c>
      <c r="L52" s="55">
        <v>37853.156787439999</v>
      </c>
      <c r="M52" s="53"/>
      <c r="N52" s="55"/>
      <c r="O52" s="55"/>
      <c r="P52" s="57">
        <v>3.5</v>
      </c>
      <c r="Q52" s="55">
        <v>43149.307158830517</v>
      </c>
      <c r="R52" s="55">
        <v>5130</v>
      </c>
      <c r="S52" s="57">
        <v>3</v>
      </c>
      <c r="T52" s="55">
        <v>36872.843938666665</v>
      </c>
      <c r="U52" s="55">
        <v>4424.7412726399998</v>
      </c>
      <c r="V52" s="50"/>
      <c r="W52" s="50"/>
      <c r="X52" s="50"/>
      <c r="Y52" s="50">
        <v>3</v>
      </c>
      <c r="Z52" s="55">
        <v>0</v>
      </c>
      <c r="AA52" s="55">
        <v>0</v>
      </c>
      <c r="AB52" s="53">
        <v>4</v>
      </c>
      <c r="AC52" s="55">
        <v>98747.365532452168</v>
      </c>
      <c r="AD52" s="55">
        <v>64185.787596093913</v>
      </c>
      <c r="AE52" s="317">
        <f>MAX(Table1345[[#This Row],[Protection/GBV PiN]],Table1345[[#This Row],[CP_PiN]])</f>
        <v>43149.307158830517</v>
      </c>
      <c r="AF52" s="317">
        <f>MAX(Table1345[[#This Row],[Protection/GBV Target]],Table1345[[#This Row],[CP_Target]])</f>
        <v>5130</v>
      </c>
    </row>
    <row r="53" spans="1:32" x14ac:dyDescent="0.2">
      <c r="A53" s="3" t="s">
        <v>76</v>
      </c>
      <c r="B53" s="3" t="s">
        <v>77</v>
      </c>
      <c r="C53" s="223" t="s">
        <v>518</v>
      </c>
      <c r="D53" s="50">
        <v>3</v>
      </c>
      <c r="E53" s="55">
        <v>62148</v>
      </c>
      <c r="F53" s="55">
        <v>45581.098773999998</v>
      </c>
      <c r="G53" s="50">
        <v>3</v>
      </c>
      <c r="H53" s="55">
        <v>0</v>
      </c>
      <c r="I53" s="55"/>
      <c r="J53" s="50" t="s">
        <v>399</v>
      </c>
      <c r="K53" s="55">
        <v>22645.069612898882</v>
      </c>
      <c r="L53" s="55"/>
      <c r="M53" s="53">
        <v>4</v>
      </c>
      <c r="N53" s="55">
        <v>24725</v>
      </c>
      <c r="O53" s="55">
        <v>20000</v>
      </c>
      <c r="P53" s="57">
        <v>3.5</v>
      </c>
      <c r="Q53" s="55">
        <v>24519.096808602873</v>
      </c>
      <c r="R53" s="55">
        <v>7000</v>
      </c>
      <c r="S53" s="57">
        <v>2.6666666666666665</v>
      </c>
      <c r="T53" s="55">
        <v>22996.277019733338</v>
      </c>
      <c r="U53" s="55">
        <v>2759.5532423680006</v>
      </c>
      <c r="V53" s="50"/>
      <c r="W53" s="50"/>
      <c r="X53" s="50"/>
      <c r="Y53" s="50">
        <v>3</v>
      </c>
      <c r="Z53" s="55">
        <v>72858.05005889204</v>
      </c>
      <c r="AA53" s="55">
        <v>51000.635041224428</v>
      </c>
      <c r="AB53" s="53">
        <v>2</v>
      </c>
      <c r="AC53" s="55"/>
      <c r="AD53" s="55"/>
      <c r="AE53" s="317">
        <f>MAX(Table1345[[#This Row],[Protection/GBV PiN]],Table1345[[#This Row],[CP_PiN]])</f>
        <v>24519.096808602873</v>
      </c>
      <c r="AF53" s="317">
        <f>MAX(Table1345[[#This Row],[Protection/GBV Target]],Table1345[[#This Row],[CP_Target]])</f>
        <v>7000</v>
      </c>
    </row>
    <row r="54" spans="1:32" x14ac:dyDescent="0.2">
      <c r="A54" s="3" t="s">
        <v>76</v>
      </c>
      <c r="B54" s="3" t="s">
        <v>91</v>
      </c>
      <c r="C54" s="223" t="s">
        <v>518</v>
      </c>
      <c r="D54" s="50">
        <v>3</v>
      </c>
      <c r="E54" s="55">
        <v>120637</v>
      </c>
      <c r="F54" s="55">
        <v>92508</v>
      </c>
      <c r="G54" s="50">
        <v>3</v>
      </c>
      <c r="H54" s="55">
        <v>0</v>
      </c>
      <c r="I54" s="55"/>
      <c r="J54" s="50" t="s">
        <v>402</v>
      </c>
      <c r="K54" s="55">
        <v>35679.616625492839</v>
      </c>
      <c r="L54" s="55">
        <v>35679.616625492839</v>
      </c>
      <c r="M54" s="53">
        <v>3</v>
      </c>
      <c r="N54" s="55">
        <v>1325</v>
      </c>
      <c r="O54" s="55">
        <v>1000</v>
      </c>
      <c r="P54" s="57">
        <v>3.5</v>
      </c>
      <c r="Q54" s="55">
        <v>41645.283308553546</v>
      </c>
      <c r="R54" s="55">
        <v>25930</v>
      </c>
      <c r="S54" s="57">
        <v>3</v>
      </c>
      <c r="T54" s="55">
        <v>42657.585321957653</v>
      </c>
      <c r="U54" s="55">
        <v>5118.9102386349177</v>
      </c>
      <c r="V54" s="50">
        <v>5</v>
      </c>
      <c r="W54" s="50">
        <v>300</v>
      </c>
      <c r="X54" s="50">
        <v>300</v>
      </c>
      <c r="Y54" s="50">
        <v>3</v>
      </c>
      <c r="Z54" s="55">
        <v>133781.8396156462</v>
      </c>
      <c r="AA54" s="55">
        <v>93647.287730952332</v>
      </c>
      <c r="AB54" s="53">
        <v>5</v>
      </c>
      <c r="AC54" s="55">
        <v>167227.29951955774</v>
      </c>
      <c r="AD54" s="55">
        <v>108697.74468771253</v>
      </c>
      <c r="AE54" s="317">
        <f>MAX(Table1345[[#This Row],[Protection/GBV PiN]],Table1345[[#This Row],[CP_PiN]])</f>
        <v>42657.585321957653</v>
      </c>
      <c r="AF54" s="317">
        <f>MAX(Table1345[[#This Row],[Protection/GBV Target]],Table1345[[#This Row],[CP_Target]])</f>
        <v>25930</v>
      </c>
    </row>
    <row r="55" spans="1:32" x14ac:dyDescent="0.2">
      <c r="A55" s="3" t="s">
        <v>76</v>
      </c>
      <c r="B55" s="3" t="s">
        <v>83</v>
      </c>
      <c r="C55" s="223" t="s">
        <v>517</v>
      </c>
      <c r="D55" s="50">
        <v>3</v>
      </c>
      <c r="E55" s="55">
        <v>16319.491119010396</v>
      </c>
      <c r="F55" s="55">
        <v>14500</v>
      </c>
      <c r="G55" s="50"/>
      <c r="H55" s="55">
        <v>0</v>
      </c>
      <c r="I55" s="55"/>
      <c r="J55" s="50" t="s">
        <v>401</v>
      </c>
      <c r="K55" s="55">
        <v>0</v>
      </c>
      <c r="L55" s="55"/>
      <c r="M55" s="53"/>
      <c r="N55" s="55"/>
      <c r="O55" s="55"/>
      <c r="P55" s="57">
        <v>3.5</v>
      </c>
      <c r="Q55" s="55">
        <v>4598.2745302196417</v>
      </c>
      <c r="R55" s="55">
        <v>7480</v>
      </c>
      <c r="S55" s="57">
        <v>1</v>
      </c>
      <c r="T55" s="55"/>
      <c r="U55" s="55">
        <v>0</v>
      </c>
      <c r="V55" s="50"/>
      <c r="W55" s="50"/>
      <c r="X55" s="50"/>
      <c r="Y55" s="50">
        <v>3</v>
      </c>
      <c r="Z55" s="55">
        <v>10340.089051788109</v>
      </c>
      <c r="AA55" s="55">
        <v>7238.0623362516753</v>
      </c>
      <c r="AB55" s="53">
        <v>3</v>
      </c>
      <c r="AC55" s="55">
        <v>11078.666841201544</v>
      </c>
      <c r="AD55" s="55">
        <v>7201.1334467810038</v>
      </c>
      <c r="AE55" s="317">
        <f>MAX(Table1345[[#This Row],[Protection/GBV PiN]],Table1345[[#This Row],[CP_PiN]])</f>
        <v>4598.2745302196417</v>
      </c>
      <c r="AF55" s="317">
        <f>MAX(Table1345[[#This Row],[Protection/GBV Target]],Table1345[[#This Row],[CP_Target]])</f>
        <v>7480</v>
      </c>
    </row>
    <row r="56" spans="1:32" x14ac:dyDescent="0.2">
      <c r="A56" s="3" t="s">
        <v>76</v>
      </c>
      <c r="B56" s="3" t="s">
        <v>78</v>
      </c>
      <c r="C56" s="223" t="s">
        <v>518</v>
      </c>
      <c r="D56" s="50">
        <v>3</v>
      </c>
      <c r="E56" s="55">
        <v>72642</v>
      </c>
      <c r="F56" s="55">
        <v>22477.933370999999</v>
      </c>
      <c r="G56" s="50">
        <v>3</v>
      </c>
      <c r="H56" s="55">
        <v>0</v>
      </c>
      <c r="I56" s="55"/>
      <c r="J56" s="50" t="s">
        <v>402</v>
      </c>
      <c r="K56" s="55">
        <v>23160.161399346172</v>
      </c>
      <c r="L56" s="55">
        <v>23160.161399346172</v>
      </c>
      <c r="M56" s="53"/>
      <c r="N56" s="55"/>
      <c r="O56" s="55"/>
      <c r="P56" s="57">
        <v>3.5</v>
      </c>
      <c r="Q56" s="55">
        <v>25076.815799672931</v>
      </c>
      <c r="R56" s="55">
        <v>17300</v>
      </c>
      <c r="S56" s="57">
        <v>2.6666666666666665</v>
      </c>
      <c r="T56" s="55">
        <v>26410.204149333334</v>
      </c>
      <c r="U56" s="224">
        <v>3169.22449792</v>
      </c>
      <c r="V56" s="61"/>
      <c r="W56" s="61"/>
      <c r="X56" s="211"/>
      <c r="Y56" s="50">
        <v>2</v>
      </c>
      <c r="Z56" s="55">
        <v>0</v>
      </c>
      <c r="AA56" s="55">
        <v>0</v>
      </c>
      <c r="AB56" s="53">
        <v>2</v>
      </c>
      <c r="AC56" s="55"/>
      <c r="AD56" s="55"/>
      <c r="AE56" s="317">
        <f>MAX(Table1345[[#This Row],[Protection/GBV PiN]],Table1345[[#This Row],[CP_PiN]])</f>
        <v>26410.204149333334</v>
      </c>
      <c r="AF56" s="317">
        <f>MAX(Table1345[[#This Row],[Protection/GBV Target]],Table1345[[#This Row],[CP_Target]])</f>
        <v>17300</v>
      </c>
    </row>
    <row r="57" spans="1:32" x14ac:dyDescent="0.2">
      <c r="A57" s="3" t="s">
        <v>76</v>
      </c>
      <c r="B57" s="3" t="s">
        <v>79</v>
      </c>
      <c r="C57" s="223" t="s">
        <v>518</v>
      </c>
      <c r="D57" s="50">
        <v>3</v>
      </c>
      <c r="E57" s="55">
        <v>88843</v>
      </c>
      <c r="F57" s="55">
        <v>88843</v>
      </c>
      <c r="G57" s="50">
        <v>3</v>
      </c>
      <c r="H57" s="55">
        <v>0</v>
      </c>
      <c r="I57" s="55"/>
      <c r="J57" s="50" t="s">
        <v>400</v>
      </c>
      <c r="K57" s="55">
        <v>0</v>
      </c>
      <c r="L57" s="55"/>
      <c r="M57" s="53">
        <v>4</v>
      </c>
      <c r="N57" s="55">
        <v>8273</v>
      </c>
      <c r="O57" s="55">
        <v>6273</v>
      </c>
      <c r="P57" s="57">
        <v>3.5</v>
      </c>
      <c r="Q57" s="55">
        <v>30669.711850387401</v>
      </c>
      <c r="R57" s="55">
        <v>4500</v>
      </c>
      <c r="S57" s="57">
        <v>2</v>
      </c>
      <c r="T57" s="55"/>
      <c r="U57" s="55">
        <v>0</v>
      </c>
      <c r="V57" s="50"/>
      <c r="W57" s="50"/>
      <c r="X57" s="50"/>
      <c r="Y57" s="50">
        <v>3</v>
      </c>
      <c r="Z57" s="55">
        <v>88671.396404823943</v>
      </c>
      <c r="AA57" s="55">
        <v>62069.977483376759</v>
      </c>
      <c r="AB57" s="53">
        <v>3</v>
      </c>
      <c r="AC57" s="55">
        <v>73892.830337353284</v>
      </c>
      <c r="AD57" s="55">
        <v>48030.339719279633</v>
      </c>
      <c r="AE57" s="317">
        <f>MAX(Table1345[[#This Row],[Protection/GBV PiN]],Table1345[[#This Row],[CP_PiN]])</f>
        <v>30669.711850387401</v>
      </c>
      <c r="AF57" s="317">
        <f>MAX(Table1345[[#This Row],[Protection/GBV Target]],Table1345[[#This Row],[CP_Target]])</f>
        <v>4500</v>
      </c>
    </row>
    <row r="58" spans="1:32" x14ac:dyDescent="0.2">
      <c r="A58" s="3" t="s">
        <v>76</v>
      </c>
      <c r="B58" s="3" t="s">
        <v>76</v>
      </c>
      <c r="C58" s="223" t="s">
        <v>518</v>
      </c>
      <c r="D58" s="50">
        <v>3</v>
      </c>
      <c r="E58" s="55">
        <v>80851</v>
      </c>
      <c r="F58" s="55">
        <v>80147.554560000004</v>
      </c>
      <c r="G58" s="50">
        <v>4</v>
      </c>
      <c r="H58" s="55">
        <v>50919</v>
      </c>
      <c r="I58" s="55"/>
      <c r="J58" s="50" t="s">
        <v>400</v>
      </c>
      <c r="K58" s="55">
        <v>0</v>
      </c>
      <c r="L58" s="55"/>
      <c r="M58" s="53">
        <v>5</v>
      </c>
      <c r="N58" s="55">
        <v>5445</v>
      </c>
      <c r="O58" s="55">
        <v>3027</v>
      </c>
      <c r="P58" s="57">
        <v>3.5</v>
      </c>
      <c r="Q58" s="55">
        <v>31897.811183011749</v>
      </c>
      <c r="R58" s="55">
        <v>4500</v>
      </c>
      <c r="S58" s="57">
        <v>2</v>
      </c>
      <c r="T58" s="55"/>
      <c r="U58" s="55">
        <v>0</v>
      </c>
      <c r="V58" s="50"/>
      <c r="W58" s="50"/>
      <c r="X58" s="50"/>
      <c r="Y58" s="50">
        <v>3</v>
      </c>
      <c r="Z58" s="55">
        <v>84536.871996545669</v>
      </c>
      <c r="AA58" s="55">
        <v>59175.810397581961</v>
      </c>
      <c r="AB58" s="53">
        <v>3</v>
      </c>
      <c r="AC58" s="55">
        <v>76851.70181504151</v>
      </c>
      <c r="AD58" s="55">
        <v>49953.60617977698</v>
      </c>
      <c r="AE58" s="317">
        <f>MAX(Table1345[[#This Row],[Protection/GBV PiN]],Table1345[[#This Row],[CP_PiN]])</f>
        <v>31897.811183011749</v>
      </c>
      <c r="AF58" s="317">
        <f>MAX(Table1345[[#This Row],[Protection/GBV Target]],Table1345[[#This Row],[CP_Target]])</f>
        <v>4500</v>
      </c>
    </row>
    <row r="59" spans="1:32" x14ac:dyDescent="0.2">
      <c r="A59" s="3" t="s">
        <v>76</v>
      </c>
      <c r="B59" s="3" t="s">
        <v>82</v>
      </c>
      <c r="C59" s="223" t="s">
        <v>517</v>
      </c>
      <c r="D59" s="50">
        <v>3</v>
      </c>
      <c r="E59" s="55">
        <v>55635.602971636428</v>
      </c>
      <c r="F59" s="55">
        <v>25000</v>
      </c>
      <c r="G59" s="50"/>
      <c r="H59" s="55">
        <v>0</v>
      </c>
      <c r="I59" s="55"/>
      <c r="J59" s="50" t="s">
        <v>402</v>
      </c>
      <c r="K59" s="55">
        <v>11831.781863575947</v>
      </c>
      <c r="L59" s="55">
        <v>11831.781863575947</v>
      </c>
      <c r="M59" s="53"/>
      <c r="N59" s="55"/>
      <c r="O59" s="55"/>
      <c r="P59" s="57">
        <v>3.5</v>
      </c>
      <c r="Q59" s="55">
        <v>13272.59443519717</v>
      </c>
      <c r="R59" s="55">
        <v>4500</v>
      </c>
      <c r="S59" s="57">
        <v>1</v>
      </c>
      <c r="T59" s="55"/>
      <c r="U59" s="55">
        <v>0</v>
      </c>
      <c r="V59" s="50"/>
      <c r="W59" s="50"/>
      <c r="X59" s="50"/>
      <c r="Y59" s="50">
        <v>1</v>
      </c>
      <c r="Z59" s="55">
        <v>0</v>
      </c>
      <c r="AA59" s="55">
        <v>0</v>
      </c>
      <c r="AB59" s="53">
        <v>3</v>
      </c>
      <c r="AC59" s="55">
        <v>13671.570647047305</v>
      </c>
      <c r="AD59" s="55">
        <v>8886.5209205807478</v>
      </c>
      <c r="AE59" s="317">
        <f>MAX(Table1345[[#This Row],[Protection/GBV PiN]],Table1345[[#This Row],[CP_PiN]])</f>
        <v>13272.59443519717</v>
      </c>
      <c r="AF59" s="317">
        <f>MAX(Table1345[[#This Row],[Protection/GBV Target]],Table1345[[#This Row],[CP_Target]])</f>
        <v>4500</v>
      </c>
    </row>
    <row r="60" spans="1:32" x14ac:dyDescent="0.2">
      <c r="A60" s="3" t="s">
        <v>76</v>
      </c>
      <c r="B60" s="3" t="s">
        <v>80</v>
      </c>
      <c r="C60" s="223" t="s">
        <v>518</v>
      </c>
      <c r="D60" s="50">
        <v>4</v>
      </c>
      <c r="E60" s="55">
        <v>82188</v>
      </c>
      <c r="F60" s="55">
        <v>69905.82979399999</v>
      </c>
      <c r="G60" s="50">
        <v>3</v>
      </c>
      <c r="H60" s="55">
        <v>0</v>
      </c>
      <c r="I60" s="55"/>
      <c r="J60" s="50" t="s">
        <v>399</v>
      </c>
      <c r="K60" s="55">
        <v>23291.828511830932</v>
      </c>
      <c r="L60" s="55"/>
      <c r="M60" s="53"/>
      <c r="N60" s="55"/>
      <c r="O60" s="55"/>
      <c r="P60" s="57">
        <v>3.5</v>
      </c>
      <c r="Q60" s="55">
        <v>25219.37922441437</v>
      </c>
      <c r="R60" s="55">
        <v>26255</v>
      </c>
      <c r="S60" s="57">
        <v>3</v>
      </c>
      <c r="T60" s="55">
        <v>23114.681213866668</v>
      </c>
      <c r="U60" s="55">
        <v>2773.761745664</v>
      </c>
      <c r="V60" s="50"/>
      <c r="W60" s="50"/>
      <c r="X60" s="50"/>
      <c r="Y60" s="50">
        <v>3</v>
      </c>
      <c r="Z60" s="55">
        <v>81015.05569332499</v>
      </c>
      <c r="AA60" s="55">
        <v>56710.53898532749</v>
      </c>
      <c r="AB60" s="53">
        <v>4</v>
      </c>
      <c r="AC60" s="55">
        <v>60761.291769993732</v>
      </c>
      <c r="AD60" s="55">
        <v>39494.839650495924</v>
      </c>
      <c r="AE60" s="317">
        <f>MAX(Table1345[[#This Row],[Protection/GBV PiN]],Table1345[[#This Row],[CP_PiN]])</f>
        <v>25219.37922441437</v>
      </c>
      <c r="AF60" s="317">
        <f>MAX(Table1345[[#This Row],[Protection/GBV Target]],Table1345[[#This Row],[CP_Target]])</f>
        <v>26255</v>
      </c>
    </row>
    <row r="61" spans="1:32" x14ac:dyDescent="0.2">
      <c r="A61" s="3" t="s">
        <v>76</v>
      </c>
      <c r="B61" s="3" t="s">
        <v>81</v>
      </c>
      <c r="C61" s="223" t="s">
        <v>518</v>
      </c>
      <c r="D61" s="50">
        <v>3</v>
      </c>
      <c r="E61" s="55">
        <v>69400</v>
      </c>
      <c r="F61" s="55">
        <v>69400</v>
      </c>
      <c r="G61" s="50">
        <v>3</v>
      </c>
      <c r="H61" s="55">
        <v>0</v>
      </c>
      <c r="I61" s="55"/>
      <c r="J61" s="50" t="s">
        <v>399</v>
      </c>
      <c r="K61" s="55">
        <v>23827.400938123268</v>
      </c>
      <c r="L61" s="55"/>
      <c r="M61" s="53">
        <v>5</v>
      </c>
      <c r="N61" s="55">
        <v>2530</v>
      </c>
      <c r="O61" s="55">
        <v>1500</v>
      </c>
      <c r="P61" s="57">
        <v>3.5</v>
      </c>
      <c r="Q61" s="55">
        <v>27380.181640940336</v>
      </c>
      <c r="R61" s="55">
        <v>4500</v>
      </c>
      <c r="S61" s="57">
        <v>2.6666666666666665</v>
      </c>
      <c r="T61" s="55">
        <v>28982.173523333335</v>
      </c>
      <c r="U61" s="55">
        <v>3477.8608227999998</v>
      </c>
      <c r="V61" s="50"/>
      <c r="W61" s="50"/>
      <c r="X61" s="50"/>
      <c r="Y61" s="50">
        <v>4</v>
      </c>
      <c r="Z61" s="55">
        <v>116542.28956446411</v>
      </c>
      <c r="AA61" s="55">
        <v>81579.602695124879</v>
      </c>
      <c r="AB61" s="53">
        <v>2</v>
      </c>
      <c r="AC61" s="55"/>
      <c r="AD61" s="55"/>
      <c r="AE61" s="317">
        <f>MAX(Table1345[[#This Row],[Protection/GBV PiN]],Table1345[[#This Row],[CP_PiN]])</f>
        <v>28982.173523333335</v>
      </c>
      <c r="AF61" s="317">
        <f>MAX(Table1345[[#This Row],[Protection/GBV Target]],Table1345[[#This Row],[CP_Target]])</f>
        <v>4500</v>
      </c>
    </row>
    <row r="62" spans="1:32" x14ac:dyDescent="0.2">
      <c r="A62" s="3" t="s">
        <v>47</v>
      </c>
      <c r="B62" s="3" t="s">
        <v>48</v>
      </c>
      <c r="C62" s="223" t="s">
        <v>518</v>
      </c>
      <c r="D62" s="50">
        <v>3</v>
      </c>
      <c r="E62" s="55">
        <v>68455</v>
      </c>
      <c r="F62" s="55">
        <v>24343.373102499998</v>
      </c>
      <c r="G62" s="50">
        <v>3</v>
      </c>
      <c r="H62" s="55">
        <v>0</v>
      </c>
      <c r="I62" s="55"/>
      <c r="J62" s="50" t="s">
        <v>402</v>
      </c>
      <c r="K62" s="55">
        <v>19005.273686344852</v>
      </c>
      <c r="L62" s="55">
        <v>19005.273686344852</v>
      </c>
      <c r="M62" s="53">
        <v>3</v>
      </c>
      <c r="N62" s="55">
        <v>450</v>
      </c>
      <c r="O62" s="55">
        <v>450</v>
      </c>
      <c r="P62" s="57">
        <v>3</v>
      </c>
      <c r="Q62" s="55">
        <v>17943.143092179438</v>
      </c>
      <c r="R62" s="55">
        <v>16946</v>
      </c>
      <c r="S62" s="57">
        <v>3</v>
      </c>
      <c r="T62" s="55">
        <v>21450.026416000001</v>
      </c>
      <c r="U62" s="55">
        <v>2574.0031699199999</v>
      </c>
      <c r="V62" s="50">
        <v>5</v>
      </c>
      <c r="W62" s="50">
        <v>925</v>
      </c>
      <c r="X62" s="50">
        <v>925</v>
      </c>
      <c r="Y62" s="50">
        <v>4</v>
      </c>
      <c r="Z62" s="55">
        <v>100841.56536794225</v>
      </c>
      <c r="AA62" s="55">
        <v>70589.095757559568</v>
      </c>
      <c r="AB62" s="53">
        <v>2</v>
      </c>
      <c r="AC62" s="55"/>
      <c r="AD62" s="55"/>
      <c r="AE62" s="317">
        <f>MAX(Table1345[[#This Row],[Protection/GBV PiN]],Table1345[[#This Row],[CP_PiN]])</f>
        <v>21450.026416000001</v>
      </c>
      <c r="AF62" s="317">
        <f>MAX(Table1345[[#This Row],[Protection/GBV Target]],Table1345[[#This Row],[CP_Target]])</f>
        <v>16946</v>
      </c>
    </row>
    <row r="63" spans="1:32" x14ac:dyDescent="0.2">
      <c r="A63" s="3" t="s">
        <v>47</v>
      </c>
      <c r="B63" s="3" t="s">
        <v>49</v>
      </c>
      <c r="C63" s="223" t="s">
        <v>518</v>
      </c>
      <c r="D63" s="50">
        <v>3</v>
      </c>
      <c r="E63" s="55">
        <v>27072</v>
      </c>
      <c r="F63" s="55">
        <v>25986.954239999999</v>
      </c>
      <c r="G63" s="50">
        <v>3</v>
      </c>
      <c r="H63" s="55">
        <v>0</v>
      </c>
      <c r="I63" s="55"/>
      <c r="J63" s="50" t="s">
        <v>402</v>
      </c>
      <c r="K63" s="55">
        <v>8599.1470610747165</v>
      </c>
      <c r="L63" s="55">
        <v>8599.1470610747165</v>
      </c>
      <c r="M63" s="53"/>
      <c r="N63" s="55"/>
      <c r="O63" s="55"/>
      <c r="P63" s="57">
        <v>3</v>
      </c>
      <c r="Q63" s="55">
        <v>7983.0293904274868</v>
      </c>
      <c r="R63" s="55">
        <v>0</v>
      </c>
      <c r="S63" s="57">
        <v>3</v>
      </c>
      <c r="T63" s="55">
        <v>8519.2472263268573</v>
      </c>
      <c r="U63" s="55">
        <v>1022.3096671592228</v>
      </c>
      <c r="V63" s="50"/>
      <c r="W63" s="50"/>
      <c r="X63" s="50"/>
      <c r="Y63" s="50">
        <v>3</v>
      </c>
      <c r="Z63" s="55">
        <v>31405.580570881571</v>
      </c>
      <c r="AA63" s="55">
        <v>21983.906399617099</v>
      </c>
      <c r="AB63" s="53">
        <v>3</v>
      </c>
      <c r="AC63" s="55">
        <v>9195.8530919214663</v>
      </c>
      <c r="AD63" s="55">
        <v>5977.304509748953</v>
      </c>
      <c r="AE63" s="317">
        <f>MAX(Table1345[[#This Row],[Protection/GBV PiN]],Table1345[[#This Row],[CP_PiN]])</f>
        <v>8519.2472263268573</v>
      </c>
      <c r="AF63" s="317">
        <f>MAX(Table1345[[#This Row],[Protection/GBV Target]],Table1345[[#This Row],[CP_Target]])</f>
        <v>1022.3096671592228</v>
      </c>
    </row>
    <row r="64" spans="1:32" x14ac:dyDescent="0.2">
      <c r="A64" s="3" t="s">
        <v>47</v>
      </c>
      <c r="B64" s="3" t="s">
        <v>98</v>
      </c>
      <c r="C64" s="223" t="s">
        <v>518</v>
      </c>
      <c r="D64" s="50">
        <v>3</v>
      </c>
      <c r="E64" s="55">
        <v>34270</v>
      </c>
      <c r="F64" s="55">
        <v>9613.6088849999996</v>
      </c>
      <c r="G64" s="50">
        <v>3</v>
      </c>
      <c r="H64" s="55">
        <v>0</v>
      </c>
      <c r="I64" s="55"/>
      <c r="J64" s="50" t="s">
        <v>399</v>
      </c>
      <c r="K64" s="55">
        <v>8708.5071234030747</v>
      </c>
      <c r="L64" s="55"/>
      <c r="M64" s="53"/>
      <c r="N64" s="55"/>
      <c r="O64" s="55"/>
      <c r="P64" s="57">
        <v>3</v>
      </c>
      <c r="Q64" s="55">
        <v>8084.553946933579</v>
      </c>
      <c r="R64" s="55">
        <v>0</v>
      </c>
      <c r="S64" s="57">
        <v>3</v>
      </c>
      <c r="T64" s="55">
        <v>8896.8504560000001</v>
      </c>
      <c r="U64" s="55">
        <v>1067.6220547200001</v>
      </c>
      <c r="V64" s="50">
        <v>5</v>
      </c>
      <c r="W64" s="50">
        <v>3000</v>
      </c>
      <c r="X64" s="50">
        <v>1500</v>
      </c>
      <c r="Y64" s="50">
        <v>3</v>
      </c>
      <c r="Z64" s="55">
        <v>34834.028493612299</v>
      </c>
      <c r="AA64" s="55">
        <v>24383.819945528609</v>
      </c>
      <c r="AB64" s="53">
        <v>3</v>
      </c>
      <c r="AC64" s="55">
        <v>11852.65682569608</v>
      </c>
      <c r="AD64" s="55">
        <v>7704.2269367024519</v>
      </c>
      <c r="AE64" s="317">
        <f>MAX(Table1345[[#This Row],[Protection/GBV PiN]],Table1345[[#This Row],[CP_PiN]])</f>
        <v>8896.8504560000001</v>
      </c>
      <c r="AF64" s="317">
        <f>MAX(Table1345[[#This Row],[Protection/GBV Target]],Table1345[[#This Row],[CP_Target]])</f>
        <v>1067.6220547200001</v>
      </c>
    </row>
    <row r="65" spans="1:32" x14ac:dyDescent="0.2">
      <c r="A65" s="3" t="s">
        <v>47</v>
      </c>
      <c r="B65" s="3" t="s">
        <v>54</v>
      </c>
      <c r="C65" s="223" t="s">
        <v>517</v>
      </c>
      <c r="D65" s="50">
        <v>3</v>
      </c>
      <c r="E65" s="55">
        <v>18353.889605393997</v>
      </c>
      <c r="F65" s="55">
        <v>10000</v>
      </c>
      <c r="G65" s="50"/>
      <c r="H65" s="55">
        <v>0</v>
      </c>
      <c r="I65" s="55"/>
      <c r="J65" s="50" t="s">
        <v>402</v>
      </c>
      <c r="K65" s="55">
        <v>5141.4451857338354</v>
      </c>
      <c r="L65" s="55">
        <v>5141.4451857338354</v>
      </c>
      <c r="M65" s="53"/>
      <c r="N65" s="55"/>
      <c r="O65" s="55"/>
      <c r="P65" s="57">
        <v>3</v>
      </c>
      <c r="Q65" s="55">
        <v>4840.4122099384349</v>
      </c>
      <c r="R65" s="55">
        <v>0</v>
      </c>
      <c r="S65" s="57">
        <v>1</v>
      </c>
      <c r="T65" s="55"/>
      <c r="U65" s="55">
        <v>0</v>
      </c>
      <c r="V65" s="50"/>
      <c r="W65" s="50"/>
      <c r="X65" s="50"/>
      <c r="Y65" s="50">
        <v>2</v>
      </c>
      <c r="Z65" s="55">
        <v>0</v>
      </c>
      <c r="AA65" s="55">
        <v>0</v>
      </c>
      <c r="AB65" s="53">
        <v>3</v>
      </c>
      <c r="AC65" s="55">
        <v>5575.7930241759004</v>
      </c>
      <c r="AD65" s="55">
        <v>3624.2654657143353</v>
      </c>
      <c r="AE65" s="317">
        <f>MAX(Table1345[[#This Row],[Protection/GBV PiN]],Table1345[[#This Row],[CP_PiN]])</f>
        <v>4840.4122099384349</v>
      </c>
      <c r="AF65" s="317">
        <f>MAX(Table1345[[#This Row],[Protection/GBV Target]],Table1345[[#This Row],[CP_Target]])</f>
        <v>0</v>
      </c>
    </row>
    <row r="66" spans="1:32" x14ac:dyDescent="0.2">
      <c r="A66" s="3" t="s">
        <v>47</v>
      </c>
      <c r="B66" s="3" t="s">
        <v>50</v>
      </c>
      <c r="C66" s="223" t="s">
        <v>518</v>
      </c>
      <c r="D66" s="50">
        <v>3</v>
      </c>
      <c r="E66" s="55">
        <v>49296</v>
      </c>
      <c r="F66" s="55">
        <v>47539.747839999996</v>
      </c>
      <c r="G66" s="50">
        <v>3</v>
      </c>
      <c r="H66" s="55">
        <v>0</v>
      </c>
      <c r="I66" s="55"/>
      <c r="J66" s="50" t="s">
        <v>399</v>
      </c>
      <c r="K66" s="55">
        <v>26848.787944586893</v>
      </c>
      <c r="L66" s="54">
        <v>13424.393972293446</v>
      </c>
      <c r="M66" s="53"/>
      <c r="N66" s="55"/>
      <c r="O66" s="55"/>
      <c r="P66" s="57">
        <v>3</v>
      </c>
      <c r="Q66" s="55">
        <v>12920.9670955611</v>
      </c>
      <c r="R66" s="55">
        <v>0</v>
      </c>
      <c r="S66" s="57">
        <v>3</v>
      </c>
      <c r="T66" s="55">
        <v>14582.025485638136</v>
      </c>
      <c r="U66" s="55">
        <v>1749.8430582765764</v>
      </c>
      <c r="V66" s="50"/>
      <c r="W66" s="50"/>
      <c r="X66" s="50"/>
      <c r="Y66" s="50">
        <v>4</v>
      </c>
      <c r="Z66" s="55">
        <v>67775.519513922918</v>
      </c>
      <c r="AA66" s="55">
        <v>47442.863659746043</v>
      </c>
      <c r="AB66" s="53">
        <v>2</v>
      </c>
      <c r="AC66" s="55"/>
      <c r="AD66" s="55"/>
      <c r="AE66" s="317">
        <f>MAX(Table1345[[#This Row],[Protection/GBV PiN]],Table1345[[#This Row],[CP_PiN]])</f>
        <v>14582.025485638136</v>
      </c>
      <c r="AF66" s="317">
        <f>MAX(Table1345[[#This Row],[Protection/GBV Target]],Table1345[[#This Row],[CP_Target]])</f>
        <v>1749.8430582765764</v>
      </c>
    </row>
    <row r="67" spans="1:32" x14ac:dyDescent="0.2">
      <c r="A67" s="3" t="s">
        <v>47</v>
      </c>
      <c r="B67" s="3" t="s">
        <v>51</v>
      </c>
      <c r="C67" s="223" t="s">
        <v>518</v>
      </c>
      <c r="D67" s="50">
        <v>3</v>
      </c>
      <c r="E67" s="55">
        <v>47744</v>
      </c>
      <c r="F67" s="55">
        <v>13393.409471999999</v>
      </c>
      <c r="G67" s="50">
        <v>4</v>
      </c>
      <c r="H67" s="55">
        <v>17908</v>
      </c>
      <c r="I67" s="55"/>
      <c r="J67" s="50" t="s">
        <v>402</v>
      </c>
      <c r="K67" s="55">
        <v>14912.004599540198</v>
      </c>
      <c r="L67" s="55">
        <v>14912.004599540198</v>
      </c>
      <c r="M67" s="53"/>
      <c r="N67" s="55"/>
      <c r="O67" s="55"/>
      <c r="P67" s="57">
        <v>3</v>
      </c>
      <c r="Q67" s="55">
        <v>14078.630844081637</v>
      </c>
      <c r="R67" s="55">
        <v>0</v>
      </c>
      <c r="S67" s="57">
        <v>3</v>
      </c>
      <c r="T67" s="55">
        <v>15897.811860666665</v>
      </c>
      <c r="U67" s="55">
        <v>1907.7374232799998</v>
      </c>
      <c r="V67" s="50"/>
      <c r="W67" s="50"/>
      <c r="X67" s="50"/>
      <c r="Y67" s="50">
        <v>4</v>
      </c>
      <c r="Z67" s="55">
        <v>77804.056541640573</v>
      </c>
      <c r="AA67" s="55">
        <v>54462.8395791484</v>
      </c>
      <c r="AB67" s="53">
        <v>2</v>
      </c>
      <c r="AC67" s="55"/>
      <c r="AD67" s="55"/>
      <c r="AE67" s="317">
        <f>MAX(Table1345[[#This Row],[Protection/GBV PiN]],Table1345[[#This Row],[CP_PiN]])</f>
        <v>15897.811860666665</v>
      </c>
      <c r="AF67" s="317">
        <f>MAX(Table1345[[#This Row],[Protection/GBV Target]],Table1345[[#This Row],[CP_Target]])</f>
        <v>1907.7374232799998</v>
      </c>
    </row>
    <row r="68" spans="1:32" x14ac:dyDescent="0.2">
      <c r="A68" s="3" t="s">
        <v>47</v>
      </c>
      <c r="B68" s="3" t="s">
        <v>52</v>
      </c>
      <c r="C68" s="223" t="s">
        <v>518</v>
      </c>
      <c r="D68" s="50">
        <v>3</v>
      </c>
      <c r="E68" s="55">
        <v>50361</v>
      </c>
      <c r="F68" s="55">
        <v>23187.544705499997</v>
      </c>
      <c r="G68" s="50">
        <v>3</v>
      </c>
      <c r="H68" s="55">
        <v>0</v>
      </c>
      <c r="I68" s="55"/>
      <c r="J68" s="50" t="s">
        <v>399</v>
      </c>
      <c r="K68" s="55">
        <v>31993.446036031222</v>
      </c>
      <c r="L68" s="55">
        <v>15996.723018015611</v>
      </c>
      <c r="M68" s="53"/>
      <c r="N68" s="55"/>
      <c r="O68" s="55"/>
      <c r="P68" s="57">
        <v>3</v>
      </c>
      <c r="Q68" s="55">
        <v>14850.578679065686</v>
      </c>
      <c r="R68" s="55">
        <v>0</v>
      </c>
      <c r="S68" s="57">
        <v>3</v>
      </c>
      <c r="T68" s="55">
        <v>18255.52737249944</v>
      </c>
      <c r="U68" s="55">
        <v>2190.6632846999328</v>
      </c>
      <c r="V68" s="50"/>
      <c r="W68" s="50"/>
      <c r="X68" s="50"/>
      <c r="Y68" s="50">
        <v>3</v>
      </c>
      <c r="Z68" s="55">
        <v>83461.163572255362</v>
      </c>
      <c r="AA68" s="55">
        <v>58422.814500578752</v>
      </c>
      <c r="AB68" s="53">
        <v>3</v>
      </c>
      <c r="AC68" s="55">
        <v>17106.756493526609</v>
      </c>
      <c r="AD68" s="55">
        <v>11119.391720792297</v>
      </c>
      <c r="AE68" s="317">
        <f>MAX(Table1345[[#This Row],[Protection/GBV PiN]],Table1345[[#This Row],[CP_PiN]])</f>
        <v>18255.52737249944</v>
      </c>
      <c r="AF68" s="317">
        <f>MAX(Table1345[[#This Row],[Protection/GBV Target]],Table1345[[#This Row],[CP_Target]])</f>
        <v>2190.6632846999328</v>
      </c>
    </row>
    <row r="69" spans="1:32" x14ac:dyDescent="0.2">
      <c r="A69" s="3" t="s">
        <v>47</v>
      </c>
      <c r="B69" s="3" t="s">
        <v>53</v>
      </c>
      <c r="C69" s="223" t="s">
        <v>518</v>
      </c>
      <c r="D69" s="50">
        <v>3</v>
      </c>
      <c r="E69" s="55">
        <v>44140</v>
      </c>
      <c r="F69" s="55">
        <v>43315.351360000001</v>
      </c>
      <c r="G69" s="50">
        <v>4</v>
      </c>
      <c r="H69" s="55">
        <v>24094.644906280257</v>
      </c>
      <c r="I69" s="55"/>
      <c r="J69" s="50" t="s">
        <v>401</v>
      </c>
      <c r="K69" s="55">
        <v>0</v>
      </c>
      <c r="L69" s="55"/>
      <c r="M69" s="53"/>
      <c r="N69" s="55"/>
      <c r="O69" s="55"/>
      <c r="P69" s="57">
        <v>3</v>
      </c>
      <c r="Q69" s="55">
        <v>11569.800380383465</v>
      </c>
      <c r="R69" s="55">
        <v>0</v>
      </c>
      <c r="S69" s="57">
        <v>3.6666666666666665</v>
      </c>
      <c r="T69" s="55">
        <v>19140.63996290334</v>
      </c>
      <c r="U69" s="55">
        <v>2296.8767955484009</v>
      </c>
      <c r="V69" s="50"/>
      <c r="W69" s="50"/>
      <c r="X69" s="50"/>
      <c r="Y69" s="50">
        <v>4</v>
      </c>
      <c r="Z69" s="55">
        <v>55269.539960468188</v>
      </c>
      <c r="AA69" s="55">
        <v>38688.677972327729</v>
      </c>
      <c r="AB69" s="53">
        <v>4</v>
      </c>
      <c r="AC69" s="55">
        <v>32511.494094393049</v>
      </c>
      <c r="AD69" s="55">
        <v>21132.471161355483</v>
      </c>
      <c r="AE69" s="317">
        <f>MAX(Table1345[[#This Row],[Protection/GBV PiN]],Table1345[[#This Row],[CP_PiN]])</f>
        <v>19140.63996290334</v>
      </c>
      <c r="AF69" s="317">
        <f>MAX(Table1345[[#This Row],[Protection/GBV Target]],Table1345[[#This Row],[CP_Target]])</f>
        <v>2296.8767955484009</v>
      </c>
    </row>
    <row r="70" spans="1:32" x14ac:dyDescent="0.2">
      <c r="A70" s="3" t="s">
        <v>47</v>
      </c>
      <c r="B70" s="3" t="s">
        <v>55</v>
      </c>
      <c r="C70" s="223" t="s">
        <v>517</v>
      </c>
      <c r="D70" s="50">
        <v>3</v>
      </c>
      <c r="E70" s="55">
        <v>16507.837172934189</v>
      </c>
      <c r="F70" s="55">
        <v>10000</v>
      </c>
      <c r="G70" s="50"/>
      <c r="H70" s="55">
        <v>0</v>
      </c>
      <c r="I70" s="55"/>
      <c r="J70" s="50" t="s">
        <v>402</v>
      </c>
      <c r="K70" s="55">
        <v>4624.3135261485386</v>
      </c>
      <c r="L70" s="55">
        <v>4624.3135261485386</v>
      </c>
      <c r="M70" s="53"/>
      <c r="N70" s="55"/>
      <c r="O70" s="55"/>
      <c r="P70" s="57">
        <v>3</v>
      </c>
      <c r="Q70" s="55">
        <v>4353.5587458291748</v>
      </c>
      <c r="R70" s="55">
        <v>0</v>
      </c>
      <c r="S70" s="57">
        <v>1</v>
      </c>
      <c r="T70" s="55"/>
      <c r="U70" s="55">
        <v>0</v>
      </c>
      <c r="V70" s="50"/>
      <c r="W70" s="50"/>
      <c r="X70" s="50"/>
      <c r="Y70" s="50">
        <v>1</v>
      </c>
      <c r="Z70" s="55">
        <v>0</v>
      </c>
      <c r="AA70" s="55">
        <v>0</v>
      </c>
      <c r="AB70" s="53">
        <v>2</v>
      </c>
      <c r="AC70" s="55"/>
      <c r="AD70" s="55"/>
      <c r="AE70" s="317">
        <f>MAX(Table1345[[#This Row],[Protection/GBV PiN]],Table1345[[#This Row],[CP_PiN]])</f>
        <v>4353.5587458291748</v>
      </c>
      <c r="AF70" s="317">
        <f>MAX(Table1345[[#This Row],[Protection/GBV Target]],Table1345[[#This Row],[CP_Target]])</f>
        <v>0</v>
      </c>
    </row>
    <row r="71" spans="1:32" x14ac:dyDescent="0.2">
      <c r="A71" s="3" t="s">
        <v>56</v>
      </c>
      <c r="B71" s="3" t="s">
        <v>97</v>
      </c>
      <c r="C71" s="223" t="s">
        <v>518</v>
      </c>
      <c r="D71" s="50">
        <v>3</v>
      </c>
      <c r="E71" s="55">
        <v>39414</v>
      </c>
      <c r="F71" s="55">
        <v>8455</v>
      </c>
      <c r="G71" s="50">
        <v>4</v>
      </c>
      <c r="H71" s="55">
        <v>29302</v>
      </c>
      <c r="I71" s="55"/>
      <c r="J71" s="50" t="s">
        <v>402</v>
      </c>
      <c r="K71" s="55">
        <v>11102.510333246575</v>
      </c>
      <c r="L71" s="55">
        <v>11102.510333246575</v>
      </c>
      <c r="M71" s="53"/>
      <c r="N71" s="55"/>
      <c r="O71" s="55"/>
      <c r="P71" s="57">
        <v>3</v>
      </c>
      <c r="Q71" s="55">
        <v>11019.405629813022</v>
      </c>
      <c r="R71" s="55">
        <v>4618</v>
      </c>
      <c r="S71" s="57">
        <v>3</v>
      </c>
      <c r="T71" s="55">
        <v>14860.148378030368</v>
      </c>
      <c r="U71" s="55">
        <v>1783.2178053636442</v>
      </c>
      <c r="V71" s="50"/>
      <c r="W71" s="50"/>
      <c r="X71" s="50"/>
      <c r="Y71" s="50">
        <v>4</v>
      </c>
      <c r="Z71" s="55">
        <v>56960.705187960681</v>
      </c>
      <c r="AA71" s="55">
        <v>39872.493631572477</v>
      </c>
      <c r="AB71" s="53">
        <v>2</v>
      </c>
      <c r="AC71" s="55"/>
      <c r="AD71" s="55"/>
      <c r="AE71" s="317">
        <f>MAX(Table1345[[#This Row],[Protection/GBV PiN]],Table1345[[#This Row],[CP_PiN]])</f>
        <v>14860.148378030368</v>
      </c>
      <c r="AF71" s="317">
        <f>MAX(Table1345[[#This Row],[Protection/GBV Target]],Table1345[[#This Row],[CP_Target]])</f>
        <v>4618</v>
      </c>
    </row>
    <row r="72" spans="1:32" x14ac:dyDescent="0.2">
      <c r="A72" s="3" t="s">
        <v>56</v>
      </c>
      <c r="B72" s="3" t="s">
        <v>64</v>
      </c>
      <c r="C72" s="223" t="s">
        <v>517</v>
      </c>
      <c r="D72" s="50">
        <v>3</v>
      </c>
      <c r="E72" s="55">
        <v>22171.586889588179</v>
      </c>
      <c r="F72" s="55">
        <v>20000</v>
      </c>
      <c r="G72" s="50"/>
      <c r="H72" s="55">
        <v>0</v>
      </c>
      <c r="I72" s="55"/>
      <c r="J72" s="50" t="s">
        <v>401</v>
      </c>
      <c r="K72" s="55">
        <v>0</v>
      </c>
      <c r="L72" s="55"/>
      <c r="M72" s="53"/>
      <c r="N72" s="55"/>
      <c r="O72" s="55"/>
      <c r="P72" s="57">
        <v>3</v>
      </c>
      <c r="Q72" s="55">
        <v>5798.043217954264</v>
      </c>
      <c r="R72" s="55">
        <v>839</v>
      </c>
      <c r="S72" s="57">
        <v>1</v>
      </c>
      <c r="T72" s="55">
        <v>0</v>
      </c>
      <c r="U72" s="55">
        <v>0</v>
      </c>
      <c r="V72" s="50"/>
      <c r="W72" s="50"/>
      <c r="X72" s="50"/>
      <c r="Y72" s="50">
        <v>3</v>
      </c>
      <c r="Z72" s="55">
        <v>12699.500298657831</v>
      </c>
      <c r="AA72" s="55">
        <v>8889.6502090604808</v>
      </c>
      <c r="AB72" s="53">
        <v>2</v>
      </c>
      <c r="AC72" s="55"/>
      <c r="AD72" s="55"/>
      <c r="AE72" s="317">
        <f>MAX(Table1345[[#This Row],[Protection/GBV PiN]],Table1345[[#This Row],[CP_PiN]])</f>
        <v>5798.043217954264</v>
      </c>
      <c r="AF72" s="317">
        <f>MAX(Table1345[[#This Row],[Protection/GBV Target]],Table1345[[#This Row],[CP_Target]])</f>
        <v>839</v>
      </c>
    </row>
    <row r="73" spans="1:32" x14ac:dyDescent="0.2">
      <c r="A73" s="3" t="s">
        <v>56</v>
      </c>
      <c r="B73" s="3" t="s">
        <v>57</v>
      </c>
      <c r="C73" s="223" t="s">
        <v>518</v>
      </c>
      <c r="D73" s="50">
        <v>3</v>
      </c>
      <c r="E73" s="55">
        <v>19809</v>
      </c>
      <c r="F73" s="55">
        <v>19809</v>
      </c>
      <c r="G73" s="50">
        <v>5</v>
      </c>
      <c r="H73" s="55">
        <v>25130</v>
      </c>
      <c r="I73" s="55">
        <v>25130</v>
      </c>
      <c r="J73" s="50" t="s">
        <v>401</v>
      </c>
      <c r="K73" s="55">
        <v>0</v>
      </c>
      <c r="L73" s="55"/>
      <c r="M73" s="53"/>
      <c r="N73" s="55"/>
      <c r="O73" s="55"/>
      <c r="P73" s="57">
        <v>3</v>
      </c>
      <c r="Q73" s="55">
        <v>12461.176444957071</v>
      </c>
      <c r="R73" s="55">
        <v>0</v>
      </c>
      <c r="S73" s="57">
        <v>2.6666666666666665</v>
      </c>
      <c r="T73" s="55">
        <v>16881.45915778054</v>
      </c>
      <c r="U73" s="55">
        <v>2025.7750989336648</v>
      </c>
      <c r="V73" s="50"/>
      <c r="W73" s="50"/>
      <c r="X73" s="50"/>
      <c r="Y73" s="50">
        <v>3</v>
      </c>
      <c r="Z73" s="55">
        <v>36027.834668859025</v>
      </c>
      <c r="AA73" s="55">
        <v>25219.484268201315</v>
      </c>
      <c r="AB73" s="53">
        <v>4</v>
      </c>
      <c r="AC73" s="55">
        <v>17088.111158696403</v>
      </c>
      <c r="AD73" s="55">
        <v>11107.272253152663</v>
      </c>
      <c r="AE73" s="317">
        <f>MAX(Table1345[[#This Row],[Protection/GBV PiN]],Table1345[[#This Row],[CP_PiN]])</f>
        <v>16881.45915778054</v>
      </c>
      <c r="AF73" s="317">
        <f>MAX(Table1345[[#This Row],[Protection/GBV Target]],Table1345[[#This Row],[CP_Target]])</f>
        <v>2025.7750989336648</v>
      </c>
    </row>
    <row r="74" spans="1:32" x14ac:dyDescent="0.2">
      <c r="A74" s="3" t="s">
        <v>56</v>
      </c>
      <c r="B74" s="3" t="s">
        <v>59</v>
      </c>
      <c r="C74" s="223" t="s">
        <v>518</v>
      </c>
      <c r="D74" s="50">
        <v>3</v>
      </c>
      <c r="E74" s="55">
        <v>56982</v>
      </c>
      <c r="F74" s="55">
        <v>54613.592639999995</v>
      </c>
      <c r="G74" s="50">
        <v>5</v>
      </c>
      <c r="H74" s="55">
        <v>42260</v>
      </c>
      <c r="I74" s="55">
        <v>42260</v>
      </c>
      <c r="J74" s="50" t="s">
        <v>402</v>
      </c>
      <c r="K74" s="55">
        <v>16051.177420459049</v>
      </c>
      <c r="L74" s="55">
        <v>16051.177420459049</v>
      </c>
      <c r="M74" s="53"/>
      <c r="N74" s="55"/>
      <c r="O74" s="55"/>
      <c r="P74" s="57">
        <v>3</v>
      </c>
      <c r="Q74" s="55">
        <v>15931.030868080517</v>
      </c>
      <c r="R74" s="55">
        <v>0</v>
      </c>
      <c r="S74" s="57">
        <v>3</v>
      </c>
      <c r="T74" s="55">
        <v>16330.507640791706</v>
      </c>
      <c r="U74" s="55">
        <v>1959.6609168950047</v>
      </c>
      <c r="V74" s="50"/>
      <c r="W74" s="50"/>
      <c r="X74" s="50"/>
      <c r="Y74" s="50">
        <v>4</v>
      </c>
      <c r="Z74" s="55">
        <v>39081.127632422038</v>
      </c>
      <c r="AA74" s="55">
        <v>27356.789342695425</v>
      </c>
      <c r="AB74" s="53">
        <v>3</v>
      </c>
      <c r="AC74" s="55">
        <v>21846.350346523916</v>
      </c>
      <c r="AD74" s="55">
        <v>14200.127725240545</v>
      </c>
      <c r="AE74" s="317">
        <f>MAX(Table1345[[#This Row],[Protection/GBV PiN]],Table1345[[#This Row],[CP_PiN]])</f>
        <v>16330.507640791706</v>
      </c>
      <c r="AF74" s="317">
        <f>MAX(Table1345[[#This Row],[Protection/GBV Target]],Table1345[[#This Row],[CP_Target]])</f>
        <v>1959.6609168950047</v>
      </c>
    </row>
    <row r="75" spans="1:32" x14ac:dyDescent="0.2">
      <c r="A75" s="3" t="s">
        <v>56</v>
      </c>
      <c r="B75" s="3" t="s">
        <v>63</v>
      </c>
      <c r="C75" s="223" t="s">
        <v>517</v>
      </c>
      <c r="D75" s="50">
        <v>3</v>
      </c>
      <c r="E75" s="55">
        <v>10643.014168443413</v>
      </c>
      <c r="F75" s="55">
        <v>10000</v>
      </c>
      <c r="G75" s="50"/>
      <c r="H75" s="55">
        <v>0</v>
      </c>
      <c r="I75" s="55"/>
      <c r="J75" s="50" t="s">
        <v>401</v>
      </c>
      <c r="K75" s="55">
        <v>0</v>
      </c>
      <c r="L75" s="55"/>
      <c r="M75" s="53"/>
      <c r="N75" s="55"/>
      <c r="O75" s="55"/>
      <c r="P75" s="57">
        <v>3</v>
      </c>
      <c r="Q75" s="55">
        <v>2783.2313683831521</v>
      </c>
      <c r="R75" s="55">
        <v>0</v>
      </c>
      <c r="S75" s="57">
        <v>1</v>
      </c>
      <c r="T75" s="55">
        <v>0</v>
      </c>
      <c r="U75" s="55">
        <v>0</v>
      </c>
      <c r="V75" s="50"/>
      <c r="W75" s="50"/>
      <c r="X75" s="50"/>
      <c r="Y75" s="50">
        <v>3</v>
      </c>
      <c r="Z75" s="55">
        <v>0</v>
      </c>
      <c r="AA75" s="55">
        <v>0</v>
      </c>
      <c r="AB75" s="53">
        <v>2</v>
      </c>
      <c r="AC75" s="55"/>
      <c r="AD75" s="55"/>
      <c r="AE75" s="317">
        <f>MAX(Table1345[[#This Row],[Protection/GBV PiN]],Table1345[[#This Row],[CP_PiN]])</f>
        <v>2783.2313683831521</v>
      </c>
      <c r="AF75" s="317">
        <f>MAX(Table1345[[#This Row],[Protection/GBV Target]],Table1345[[#This Row],[CP_Target]])</f>
        <v>0</v>
      </c>
    </row>
    <row r="76" spans="1:32" x14ac:dyDescent="0.2">
      <c r="A76" s="3" t="s">
        <v>56</v>
      </c>
      <c r="B76" s="3" t="s">
        <v>60</v>
      </c>
      <c r="C76" s="223" t="s">
        <v>518</v>
      </c>
      <c r="D76" s="50">
        <v>3</v>
      </c>
      <c r="E76" s="55">
        <v>32920</v>
      </c>
      <c r="F76" s="55">
        <v>9234.8994599999987</v>
      </c>
      <c r="G76" s="50">
        <v>5</v>
      </c>
      <c r="H76" s="55">
        <v>32608</v>
      </c>
      <c r="I76" s="55">
        <v>32608</v>
      </c>
      <c r="J76" s="50" t="s">
        <v>399</v>
      </c>
      <c r="K76" s="55">
        <v>13416.420782453804</v>
      </c>
      <c r="L76" s="55"/>
      <c r="M76" s="53"/>
      <c r="N76" s="55"/>
      <c r="O76" s="55"/>
      <c r="P76" s="57">
        <v>3</v>
      </c>
      <c r="Q76" s="55">
        <v>13805.801793839266</v>
      </c>
      <c r="R76" s="55">
        <v>7000</v>
      </c>
      <c r="S76" s="57">
        <v>3</v>
      </c>
      <c r="T76" s="55">
        <v>11968.31140411002</v>
      </c>
      <c r="U76" s="55">
        <v>1436.1973684932022</v>
      </c>
      <c r="V76" s="50"/>
      <c r="W76" s="50"/>
      <c r="X76" s="50"/>
      <c r="Y76" s="50">
        <v>3</v>
      </c>
      <c r="Z76" s="55">
        <v>47172.774117895635</v>
      </c>
      <c r="AA76" s="55">
        <v>33020.941882526946</v>
      </c>
      <c r="AB76" s="53">
        <v>2</v>
      </c>
      <c r="AC76" s="55"/>
      <c r="AD76" s="55"/>
      <c r="AE76" s="317">
        <f>MAX(Table1345[[#This Row],[Protection/GBV PiN]],Table1345[[#This Row],[CP_PiN]])</f>
        <v>13805.801793839266</v>
      </c>
      <c r="AF76" s="317">
        <f>MAX(Table1345[[#This Row],[Protection/GBV Target]],Table1345[[#This Row],[CP_Target]])</f>
        <v>7000</v>
      </c>
    </row>
    <row r="77" spans="1:32" x14ac:dyDescent="0.2">
      <c r="A77" s="3" t="s">
        <v>56</v>
      </c>
      <c r="B77" s="3" t="s">
        <v>58</v>
      </c>
      <c r="C77" s="223" t="s">
        <v>518</v>
      </c>
      <c r="D77" s="50">
        <v>3</v>
      </c>
      <c r="E77" s="55">
        <v>14484</v>
      </c>
      <c r="F77" s="55">
        <v>14063.131342000001</v>
      </c>
      <c r="G77" s="50">
        <v>5</v>
      </c>
      <c r="H77" s="55">
        <v>26672</v>
      </c>
      <c r="I77" s="55">
        <v>26672</v>
      </c>
      <c r="J77" s="50" t="s">
        <v>401</v>
      </c>
      <c r="K77" s="55">
        <v>0</v>
      </c>
      <c r="L77" s="55"/>
      <c r="M77" s="53"/>
      <c r="N77" s="55"/>
      <c r="O77" s="55"/>
      <c r="P77" s="57">
        <v>3</v>
      </c>
      <c r="Q77" s="55">
        <v>9111.5842562711023</v>
      </c>
      <c r="R77" s="55">
        <v>0</v>
      </c>
      <c r="S77" s="57">
        <v>2.6666666666666665</v>
      </c>
      <c r="T77" s="55">
        <v>13060.690107822784</v>
      </c>
      <c r="U77" s="55">
        <v>1567.282812938734</v>
      </c>
      <c r="V77" s="50"/>
      <c r="W77" s="50"/>
      <c r="X77" s="50"/>
      <c r="Y77" s="50">
        <v>3</v>
      </c>
      <c r="Z77" s="55">
        <v>35922.916187619994</v>
      </c>
      <c r="AA77" s="55">
        <v>25146.041331333996</v>
      </c>
      <c r="AB77" s="53">
        <v>2</v>
      </c>
      <c r="AC77" s="55"/>
      <c r="AD77" s="55"/>
      <c r="AE77" s="317">
        <f>MAX(Table1345[[#This Row],[Protection/GBV PiN]],Table1345[[#This Row],[CP_PiN]])</f>
        <v>13060.690107822784</v>
      </c>
      <c r="AF77" s="317">
        <f>MAX(Table1345[[#This Row],[Protection/GBV Target]],Table1345[[#This Row],[CP_Target]])</f>
        <v>1567.282812938734</v>
      </c>
    </row>
    <row r="78" spans="1:32" x14ac:dyDescent="0.2">
      <c r="A78" s="3" t="s">
        <v>56</v>
      </c>
      <c r="B78" s="3" t="s">
        <v>61</v>
      </c>
      <c r="C78" s="223" t="s">
        <v>518</v>
      </c>
      <c r="D78" s="50">
        <v>3</v>
      </c>
      <c r="E78" s="55">
        <v>30822</v>
      </c>
      <c r="F78" s="55">
        <v>9330</v>
      </c>
      <c r="G78" s="50">
        <v>5</v>
      </c>
      <c r="H78" s="55">
        <v>20441</v>
      </c>
      <c r="I78" s="55">
        <v>20441</v>
      </c>
      <c r="J78" s="50" t="s">
        <v>402</v>
      </c>
      <c r="K78" s="55">
        <v>12724.633959053828</v>
      </c>
      <c r="L78" s="55">
        <v>12724.633959053828</v>
      </c>
      <c r="M78" s="53"/>
      <c r="N78" s="55"/>
      <c r="O78" s="55"/>
      <c r="P78" s="57">
        <v>3</v>
      </c>
      <c r="Q78" s="55">
        <v>12926.126204870387</v>
      </c>
      <c r="R78" s="55">
        <v>0</v>
      </c>
      <c r="S78" s="57">
        <v>2.6666666666666665</v>
      </c>
      <c r="T78" s="55">
        <v>15413.169333979473</v>
      </c>
      <c r="U78" s="55">
        <v>1849.5803200775367</v>
      </c>
      <c r="V78" s="50"/>
      <c r="W78" s="50"/>
      <c r="X78" s="50"/>
      <c r="Y78" s="50">
        <v>3</v>
      </c>
      <c r="Z78" s="55">
        <v>32842.148879722408</v>
      </c>
      <c r="AA78" s="55">
        <v>22989.504215805686</v>
      </c>
      <c r="AB78" s="53">
        <v>2</v>
      </c>
      <c r="AC78" s="55"/>
      <c r="AD78" s="55"/>
      <c r="AE78" s="317">
        <f>MAX(Table1345[[#This Row],[Protection/GBV PiN]],Table1345[[#This Row],[CP_PiN]])</f>
        <v>15413.169333979473</v>
      </c>
      <c r="AF78" s="317">
        <f>MAX(Table1345[[#This Row],[Protection/GBV Target]],Table1345[[#This Row],[CP_Target]])</f>
        <v>1849.5803200775367</v>
      </c>
    </row>
    <row r="79" spans="1:32" x14ac:dyDescent="0.2">
      <c r="A79" s="3" t="s">
        <v>56</v>
      </c>
      <c r="B79" s="3" t="s">
        <v>65</v>
      </c>
      <c r="C79" s="223" t="s">
        <v>517</v>
      </c>
      <c r="D79" s="50">
        <v>3</v>
      </c>
      <c r="E79" s="55">
        <v>6117.3521887735769</v>
      </c>
      <c r="F79" s="55">
        <v>0</v>
      </c>
      <c r="G79" s="50"/>
      <c r="H79" s="55">
        <v>0</v>
      </c>
      <c r="I79" s="55"/>
      <c r="J79" s="50" t="s">
        <v>401</v>
      </c>
      <c r="K79" s="55">
        <v>0</v>
      </c>
      <c r="L79" s="55"/>
      <c r="M79" s="53"/>
      <c r="N79" s="55"/>
      <c r="O79" s="55"/>
      <c r="P79" s="57">
        <v>3</v>
      </c>
      <c r="Q79" s="55">
        <v>1599.7353976774868</v>
      </c>
      <c r="R79" s="55">
        <v>0</v>
      </c>
      <c r="S79" s="57">
        <v>1</v>
      </c>
      <c r="T79" s="55">
        <v>0</v>
      </c>
      <c r="U79" s="55">
        <v>0</v>
      </c>
      <c r="V79" s="50"/>
      <c r="W79" s="50"/>
      <c r="X79" s="50"/>
      <c r="Y79" s="50">
        <v>3</v>
      </c>
      <c r="Z79" s="55">
        <v>3503.9131991408012</v>
      </c>
      <c r="AA79" s="55">
        <v>2452.7392393985606</v>
      </c>
      <c r="AB79" s="53">
        <v>1</v>
      </c>
      <c r="AC79" s="55"/>
      <c r="AD79" s="55"/>
      <c r="AE79" s="317">
        <f>MAX(Table1345[[#This Row],[Protection/GBV PiN]],Table1345[[#This Row],[CP_PiN]])</f>
        <v>1599.7353976774868</v>
      </c>
      <c r="AF79" s="317">
        <f>MAX(Table1345[[#This Row],[Protection/GBV Target]],Table1345[[#This Row],[CP_Target]])</f>
        <v>0</v>
      </c>
    </row>
    <row r="80" spans="1:32" x14ac:dyDescent="0.2">
      <c r="A80" s="3" t="s">
        <v>56</v>
      </c>
      <c r="B80" s="3" t="s">
        <v>62</v>
      </c>
      <c r="C80" s="223" t="s">
        <v>518</v>
      </c>
      <c r="D80" s="50">
        <v>3</v>
      </c>
      <c r="E80" s="55">
        <v>27557</v>
      </c>
      <c r="F80" s="55">
        <v>26636.602879999999</v>
      </c>
      <c r="G80" s="50">
        <v>4</v>
      </c>
      <c r="H80" s="55">
        <v>14230</v>
      </c>
      <c r="I80" s="55"/>
      <c r="J80" s="50" t="s">
        <v>401</v>
      </c>
      <c r="K80" s="55">
        <v>0</v>
      </c>
      <c r="L80" s="55"/>
      <c r="M80" s="53"/>
      <c r="N80" s="55"/>
      <c r="O80" s="55"/>
      <c r="P80" s="57">
        <v>3</v>
      </c>
      <c r="Q80" s="55">
        <v>8667.4120677537339</v>
      </c>
      <c r="R80" s="55">
        <v>0</v>
      </c>
      <c r="S80" s="57">
        <v>3</v>
      </c>
      <c r="T80" s="55">
        <v>8576.7351973333352</v>
      </c>
      <c r="U80" s="55">
        <v>1029.2082236800002</v>
      </c>
      <c r="V80" s="50"/>
      <c r="W80" s="50"/>
      <c r="X80" s="50"/>
      <c r="Y80" s="50">
        <v>2</v>
      </c>
      <c r="Z80" s="55"/>
      <c r="AA80" s="55">
        <v>0</v>
      </c>
      <c r="AB80" s="53">
        <v>2</v>
      </c>
      <c r="AC80" s="55"/>
      <c r="AD80" s="55"/>
      <c r="AE80" s="317">
        <f>MAX(Table1345[[#This Row],[Protection/GBV PiN]],Table1345[[#This Row],[CP_PiN]])</f>
        <v>8667.4120677537339</v>
      </c>
      <c r="AF80" s="317">
        <f>MAX(Table1345[[#This Row],[Protection/GBV Target]],Table1345[[#This Row],[CP_Target]])</f>
        <v>1029.2082236800002</v>
      </c>
    </row>
    <row r="81" spans="1:32" x14ac:dyDescent="0.2">
      <c r="A81" s="3" t="s">
        <v>66</v>
      </c>
      <c r="B81" s="3" t="s">
        <v>67</v>
      </c>
      <c r="C81" s="223" t="s">
        <v>518</v>
      </c>
      <c r="D81" s="50">
        <v>3</v>
      </c>
      <c r="E81" s="55">
        <v>39546</v>
      </c>
      <c r="F81" s="55">
        <v>37902.292480000004</v>
      </c>
      <c r="G81" s="50">
        <v>3</v>
      </c>
      <c r="H81" s="55">
        <v>0</v>
      </c>
      <c r="I81" s="55"/>
      <c r="J81" s="50" t="s">
        <v>400</v>
      </c>
      <c r="K81" s="55">
        <v>0</v>
      </c>
      <c r="L81" s="55"/>
      <c r="M81" s="53"/>
      <c r="N81" s="55"/>
      <c r="O81" s="55"/>
      <c r="P81" s="57">
        <v>3.5</v>
      </c>
      <c r="Q81" s="55">
        <v>13208.857644457239</v>
      </c>
      <c r="R81" s="55">
        <v>1732</v>
      </c>
      <c r="S81" s="57">
        <v>2.6666666666666665</v>
      </c>
      <c r="T81" s="55">
        <v>11018.329074133333</v>
      </c>
      <c r="U81" s="55">
        <v>1322.1994888959998</v>
      </c>
      <c r="V81" s="50"/>
      <c r="W81" s="50"/>
      <c r="X81" s="50"/>
      <c r="Y81" s="50">
        <v>3</v>
      </c>
      <c r="Z81" s="55">
        <v>37647.879638277809</v>
      </c>
      <c r="AA81" s="55">
        <v>26353.515746794466</v>
      </c>
      <c r="AB81" s="53">
        <v>2</v>
      </c>
      <c r="AC81" s="55"/>
      <c r="AD81" s="55"/>
      <c r="AE81" s="317">
        <f>MAX(Table1345[[#This Row],[Protection/GBV PiN]],Table1345[[#This Row],[CP_PiN]])</f>
        <v>13208.857644457239</v>
      </c>
      <c r="AF81" s="317">
        <f>MAX(Table1345[[#This Row],[Protection/GBV Target]],Table1345[[#This Row],[CP_Target]])</f>
        <v>1732</v>
      </c>
    </row>
    <row r="82" spans="1:32" x14ac:dyDescent="0.2">
      <c r="A82" s="3" t="s">
        <v>66</v>
      </c>
      <c r="B82" s="3" t="s">
        <v>68</v>
      </c>
      <c r="C82" s="223" t="s">
        <v>518</v>
      </c>
      <c r="D82" s="50">
        <v>3</v>
      </c>
      <c r="E82" s="55">
        <v>105148</v>
      </c>
      <c r="F82" s="55">
        <v>104933.66816</v>
      </c>
      <c r="G82" s="50">
        <v>4</v>
      </c>
      <c r="H82" s="55">
        <v>45712.401217453102</v>
      </c>
      <c r="I82" s="55"/>
      <c r="J82" s="50" t="s">
        <v>402</v>
      </c>
      <c r="K82" s="55">
        <v>34080.912895468005</v>
      </c>
      <c r="L82" s="55">
        <v>34080.912895468005</v>
      </c>
      <c r="M82" s="53"/>
      <c r="N82" s="55"/>
      <c r="O82" s="55"/>
      <c r="P82" s="57">
        <v>3.5</v>
      </c>
      <c r="Q82" s="55">
        <v>39511.335920655452</v>
      </c>
      <c r="R82" s="55">
        <v>20483</v>
      </c>
      <c r="S82" s="57">
        <v>3.3333333333333335</v>
      </c>
      <c r="T82" s="55">
        <v>38809.907851358119</v>
      </c>
      <c r="U82" s="55">
        <v>4657.1889421629739</v>
      </c>
      <c r="V82" s="50"/>
      <c r="W82" s="50"/>
      <c r="X82" s="50"/>
      <c r="Y82" s="50">
        <v>4</v>
      </c>
      <c r="Z82" s="55">
        <v>168922.78565579792</v>
      </c>
      <c r="AA82" s="55">
        <v>118245.94995905853</v>
      </c>
      <c r="AB82" s="53">
        <v>3</v>
      </c>
      <c r="AC82" s="55">
        <v>88906.729292525226</v>
      </c>
      <c r="AD82" s="55">
        <v>57789.374040141396</v>
      </c>
      <c r="AE82" s="317">
        <f>MAX(Table1345[[#This Row],[Protection/GBV PiN]],Table1345[[#This Row],[CP_PiN]])</f>
        <v>39511.335920655452</v>
      </c>
      <c r="AF82" s="317">
        <f>MAX(Table1345[[#This Row],[Protection/GBV Target]],Table1345[[#This Row],[CP_Target]])</f>
        <v>20483</v>
      </c>
    </row>
    <row r="83" spans="1:32" x14ac:dyDescent="0.2">
      <c r="A83" s="3" t="s">
        <v>66</v>
      </c>
      <c r="B83" s="3" t="s">
        <v>96</v>
      </c>
      <c r="C83" s="223" t="s">
        <v>518</v>
      </c>
      <c r="D83" s="50">
        <v>3</v>
      </c>
      <c r="E83" s="55">
        <v>100394</v>
      </c>
      <c r="F83" s="55">
        <v>99923.102719999995</v>
      </c>
      <c r="G83" s="50">
        <v>5</v>
      </c>
      <c r="H83" s="55">
        <v>81902</v>
      </c>
      <c r="I83" s="55">
        <v>81902</v>
      </c>
      <c r="J83" s="50" t="s">
        <v>399</v>
      </c>
      <c r="K83" s="55">
        <v>42662.599824381847</v>
      </c>
      <c r="L83" s="55"/>
      <c r="M83" s="53"/>
      <c r="N83" s="55"/>
      <c r="O83" s="55"/>
      <c r="P83" s="57">
        <v>3.5</v>
      </c>
      <c r="Q83" s="55">
        <v>50300.216298071144</v>
      </c>
      <c r="R83" s="55">
        <v>6558</v>
      </c>
      <c r="S83" s="57">
        <v>2.6666666666666665</v>
      </c>
      <c r="T83" s="55">
        <v>49426.532293943274</v>
      </c>
      <c r="U83" s="55">
        <v>5931.1838752731928</v>
      </c>
      <c r="V83" s="50"/>
      <c r="W83" s="50"/>
      <c r="X83" s="50"/>
      <c r="Y83" s="50">
        <v>3</v>
      </c>
      <c r="Z83" s="55">
        <v>166002.33394701107</v>
      </c>
      <c r="AA83" s="55">
        <v>116201.63376290773</v>
      </c>
      <c r="AB83" s="53">
        <v>4</v>
      </c>
      <c r="AC83" s="55">
        <v>113183.40950932572</v>
      </c>
      <c r="AD83" s="55">
        <v>73569.216181061725</v>
      </c>
      <c r="AE83" s="317">
        <f>MAX(Table1345[[#This Row],[Protection/GBV PiN]],Table1345[[#This Row],[CP_PiN]])</f>
        <v>50300.216298071144</v>
      </c>
      <c r="AF83" s="317">
        <f>MAX(Table1345[[#This Row],[Protection/GBV Target]],Table1345[[#This Row],[CP_Target]])</f>
        <v>6558</v>
      </c>
    </row>
    <row r="84" spans="1:32" x14ac:dyDescent="0.2">
      <c r="A84" s="3" t="s">
        <v>66</v>
      </c>
      <c r="B84" s="3" t="s">
        <v>75</v>
      </c>
      <c r="C84" s="223" t="s">
        <v>517</v>
      </c>
      <c r="D84" s="50">
        <v>3</v>
      </c>
      <c r="E84" s="55">
        <v>14693.329139907968</v>
      </c>
      <c r="F84" s="55">
        <v>14693.329139907968</v>
      </c>
      <c r="G84" s="50"/>
      <c r="H84" s="55">
        <v>0</v>
      </c>
      <c r="I84" s="55"/>
      <c r="J84" s="50" t="s">
        <v>400</v>
      </c>
      <c r="K84" s="55">
        <v>0</v>
      </c>
      <c r="L84" s="55"/>
      <c r="M84" s="53"/>
      <c r="N84" s="55"/>
      <c r="O84" s="55"/>
      <c r="P84" s="57">
        <v>3.5</v>
      </c>
      <c r="Q84" s="55">
        <v>3954.2241139472371</v>
      </c>
      <c r="R84" s="55">
        <v>529</v>
      </c>
      <c r="S84" s="57">
        <v>1</v>
      </c>
      <c r="T84" s="55"/>
      <c r="U84" s="55">
        <v>0</v>
      </c>
      <c r="V84" s="50"/>
      <c r="W84" s="50"/>
      <c r="X84" s="50"/>
      <c r="Y84" s="50">
        <v>4</v>
      </c>
      <c r="Z84" s="55">
        <v>19871.367168286644</v>
      </c>
      <c r="AA84" s="55">
        <v>13909.957017800651</v>
      </c>
      <c r="AB84" s="53">
        <v>2</v>
      </c>
      <c r="AC84" s="55"/>
      <c r="AD84" s="55"/>
      <c r="AE84" s="317">
        <f>MAX(Table1345[[#This Row],[Protection/GBV PiN]],Table1345[[#This Row],[CP_PiN]])</f>
        <v>3954.2241139472371</v>
      </c>
      <c r="AF84" s="317">
        <f>MAX(Table1345[[#This Row],[Protection/GBV Target]],Table1345[[#This Row],[CP_Target]])</f>
        <v>529</v>
      </c>
    </row>
    <row r="85" spans="1:32" x14ac:dyDescent="0.2">
      <c r="A85" s="3" t="s">
        <v>66</v>
      </c>
      <c r="B85" s="3" t="s">
        <v>69</v>
      </c>
      <c r="C85" s="223" t="s">
        <v>518</v>
      </c>
      <c r="D85" s="50">
        <v>3</v>
      </c>
      <c r="E85" s="55">
        <v>45183</v>
      </c>
      <c r="F85" s="55">
        <v>43305.01152</v>
      </c>
      <c r="G85" s="50">
        <v>5</v>
      </c>
      <c r="H85" s="55">
        <v>78264</v>
      </c>
      <c r="I85" s="55">
        <v>78264</v>
      </c>
      <c r="J85" s="50" t="s">
        <v>402</v>
      </c>
      <c r="K85" s="55">
        <v>12782.257837260728</v>
      </c>
      <c r="L85" s="55">
        <v>12782.257837260728</v>
      </c>
      <c r="M85" s="53"/>
      <c r="N85" s="55"/>
      <c r="O85" s="55"/>
      <c r="P85" s="57">
        <v>3.5</v>
      </c>
      <c r="Q85" s="55">
        <v>15091.938929285774</v>
      </c>
      <c r="R85" s="55">
        <v>1949</v>
      </c>
      <c r="S85" s="57">
        <v>3</v>
      </c>
      <c r="T85" s="55">
        <v>20474.74600667262</v>
      </c>
      <c r="U85" s="55">
        <v>2456.9695208007142</v>
      </c>
      <c r="V85" s="50"/>
      <c r="W85" s="50"/>
      <c r="X85" s="50"/>
      <c r="Y85" s="50">
        <v>2</v>
      </c>
      <c r="Z85" s="55">
        <v>0</v>
      </c>
      <c r="AA85" s="55">
        <v>0</v>
      </c>
      <c r="AB85" s="53">
        <v>3</v>
      </c>
      <c r="AC85" s="55">
        <v>33959.239737674623</v>
      </c>
      <c r="AD85" s="55">
        <v>22073.505829488506</v>
      </c>
      <c r="AE85" s="317">
        <f>MAX(Table1345[[#This Row],[Protection/GBV PiN]],Table1345[[#This Row],[CP_PiN]])</f>
        <v>20474.74600667262</v>
      </c>
      <c r="AF85" s="317">
        <f>MAX(Table1345[[#This Row],[Protection/GBV Target]],Table1345[[#This Row],[CP_Target]])</f>
        <v>2456.9695208007142</v>
      </c>
    </row>
    <row r="86" spans="1:32" x14ac:dyDescent="0.2">
      <c r="A86" s="3" t="s">
        <v>66</v>
      </c>
      <c r="B86" s="3" t="s">
        <v>71</v>
      </c>
      <c r="C86" s="223" t="s">
        <v>517</v>
      </c>
      <c r="D86" s="50">
        <v>3</v>
      </c>
      <c r="E86" s="55">
        <v>73685.290181364559</v>
      </c>
      <c r="F86" s="55">
        <v>25000</v>
      </c>
      <c r="G86" s="50"/>
      <c r="H86" s="55">
        <v>0</v>
      </c>
      <c r="I86" s="55"/>
      <c r="J86" s="50" t="s">
        <v>399</v>
      </c>
      <c r="K86" s="55">
        <v>21450.286001892327</v>
      </c>
      <c r="L86" s="55"/>
      <c r="M86" s="53"/>
      <c r="N86" s="55"/>
      <c r="O86" s="55"/>
      <c r="P86" s="57">
        <v>3.5</v>
      </c>
      <c r="Q86" s="55">
        <v>25951.34238581028</v>
      </c>
      <c r="R86" s="55">
        <v>0</v>
      </c>
      <c r="S86" s="57">
        <v>1</v>
      </c>
      <c r="T86" s="55"/>
      <c r="U86" s="55">
        <v>0</v>
      </c>
      <c r="V86" s="50"/>
      <c r="W86" s="50"/>
      <c r="X86" s="50"/>
      <c r="Y86" s="50">
        <v>3</v>
      </c>
      <c r="Z86" s="55">
        <v>56448.121057611388</v>
      </c>
      <c r="AA86" s="55">
        <v>39513.684740327968</v>
      </c>
      <c r="AB86" s="53">
        <v>3</v>
      </c>
      <c r="AC86" s="55">
        <v>58394.607990632467</v>
      </c>
      <c r="AD86" s="55">
        <v>37956.495193911105</v>
      </c>
      <c r="AE86" s="317">
        <f>MAX(Table1345[[#This Row],[Protection/GBV PiN]],Table1345[[#This Row],[CP_PiN]])</f>
        <v>25951.34238581028</v>
      </c>
      <c r="AF86" s="317">
        <f>MAX(Table1345[[#This Row],[Protection/GBV Target]],Table1345[[#This Row],[CP_Target]])</f>
        <v>0</v>
      </c>
    </row>
    <row r="87" spans="1:32" x14ac:dyDescent="0.2">
      <c r="A87" s="3" t="s">
        <v>66</v>
      </c>
      <c r="B87" s="3" t="s">
        <v>95</v>
      </c>
      <c r="C87" s="223" t="s">
        <v>518</v>
      </c>
      <c r="D87" s="50">
        <v>3</v>
      </c>
      <c r="E87" s="55">
        <v>47774</v>
      </c>
      <c r="F87" s="55">
        <v>47731.576639999999</v>
      </c>
      <c r="G87" s="50">
        <v>4</v>
      </c>
      <c r="H87" s="55">
        <v>44511.69794690398</v>
      </c>
      <c r="I87" s="55"/>
      <c r="J87" s="50" t="s">
        <v>399</v>
      </c>
      <c r="K87" s="55">
        <v>24206.800417314615</v>
      </c>
      <c r="L87" s="55"/>
      <c r="M87" s="53"/>
      <c r="N87" s="55"/>
      <c r="O87" s="55"/>
      <c r="P87" s="57">
        <v>3.5</v>
      </c>
      <c r="Q87" s="55">
        <v>28723.277490548713</v>
      </c>
      <c r="R87" s="55">
        <v>10699</v>
      </c>
      <c r="S87" s="57">
        <v>3</v>
      </c>
      <c r="T87" s="55">
        <v>38654.24841689528</v>
      </c>
      <c r="U87" s="55">
        <v>4638.5098100274336</v>
      </c>
      <c r="V87" s="50"/>
      <c r="W87" s="50"/>
      <c r="X87" s="50"/>
      <c r="Y87" s="50">
        <v>2</v>
      </c>
      <c r="Z87" s="55"/>
      <c r="AA87" s="55">
        <v>0</v>
      </c>
      <c r="AB87" s="53">
        <v>3</v>
      </c>
      <c r="AC87" s="55">
        <v>28959.399360051888</v>
      </c>
      <c r="AD87" s="55">
        <v>18823.609584033729</v>
      </c>
      <c r="AE87" s="317">
        <f>MAX(Table1345[[#This Row],[Protection/GBV PiN]],Table1345[[#This Row],[CP_PiN]])</f>
        <v>38654.24841689528</v>
      </c>
      <c r="AF87" s="317">
        <f>MAX(Table1345[[#This Row],[Protection/GBV Target]],Table1345[[#This Row],[CP_Target]])</f>
        <v>10699</v>
      </c>
    </row>
    <row r="88" spans="1:32" x14ac:dyDescent="0.2">
      <c r="A88" s="3" t="s">
        <v>66</v>
      </c>
      <c r="B88" s="3" t="s">
        <v>72</v>
      </c>
      <c r="C88" s="223" t="s">
        <v>517</v>
      </c>
      <c r="D88" s="50">
        <v>3</v>
      </c>
      <c r="E88" s="55">
        <v>40127.928647952998</v>
      </c>
      <c r="F88" s="55">
        <v>39500</v>
      </c>
      <c r="G88" s="50"/>
      <c r="H88" s="55">
        <v>0</v>
      </c>
      <c r="I88" s="55"/>
      <c r="J88" s="50" t="s">
        <v>401</v>
      </c>
      <c r="K88" s="55">
        <v>0</v>
      </c>
      <c r="L88" s="55"/>
      <c r="M88" s="53"/>
      <c r="N88" s="55"/>
      <c r="O88" s="55"/>
      <c r="P88" s="57">
        <v>3.5</v>
      </c>
      <c r="Q88" s="55">
        <v>16586.896694823157</v>
      </c>
      <c r="R88" s="55">
        <v>8171</v>
      </c>
      <c r="S88" s="57">
        <v>1</v>
      </c>
      <c r="T88" s="55"/>
      <c r="U88" s="55">
        <v>0</v>
      </c>
      <c r="V88" s="50"/>
      <c r="W88" s="50"/>
      <c r="X88" s="50"/>
      <c r="Y88" s="50">
        <v>2</v>
      </c>
      <c r="Z88" s="55">
        <v>0</v>
      </c>
      <c r="AA88" s="55">
        <v>0</v>
      </c>
      <c r="AB88" s="53">
        <v>3</v>
      </c>
      <c r="AC88" s="55">
        <v>16723.250530423094</v>
      </c>
      <c r="AD88" s="55">
        <v>10870.112844775012</v>
      </c>
      <c r="AE88" s="317">
        <f>MAX(Table1345[[#This Row],[Protection/GBV PiN]],Table1345[[#This Row],[CP_PiN]])</f>
        <v>16586.896694823157</v>
      </c>
      <c r="AF88" s="317">
        <f>MAX(Table1345[[#This Row],[Protection/GBV Target]],Table1345[[#This Row],[CP_Target]])</f>
        <v>8171</v>
      </c>
    </row>
    <row r="89" spans="1:32" x14ac:dyDescent="0.2">
      <c r="A89" s="3" t="s">
        <v>66</v>
      </c>
      <c r="B89" s="3" t="s">
        <v>70</v>
      </c>
      <c r="C89" s="223" t="s">
        <v>518</v>
      </c>
      <c r="D89" s="50">
        <v>3</v>
      </c>
      <c r="E89" s="55">
        <v>101580</v>
      </c>
      <c r="F89" s="55">
        <v>101580</v>
      </c>
      <c r="G89" s="50">
        <v>4</v>
      </c>
      <c r="H89" s="55">
        <v>49868</v>
      </c>
      <c r="I89" s="55"/>
      <c r="J89" s="50" t="s">
        <v>402</v>
      </c>
      <c r="K89" s="55">
        <v>25936.459272869484</v>
      </c>
      <c r="L89" s="55">
        <v>25936.459272869484</v>
      </c>
      <c r="M89" s="53"/>
      <c r="N89" s="55"/>
      <c r="O89" s="55"/>
      <c r="P89" s="57">
        <v>3.5</v>
      </c>
      <c r="Q89" s="55">
        <v>30536.493254115609</v>
      </c>
      <c r="R89" s="55">
        <v>18623</v>
      </c>
      <c r="S89" s="57">
        <v>3</v>
      </c>
      <c r="T89" s="55">
        <v>24065.017490800001</v>
      </c>
      <c r="U89" s="55">
        <v>2887.8020988960002</v>
      </c>
      <c r="V89" s="50"/>
      <c r="W89" s="50"/>
      <c r="X89" s="50"/>
      <c r="Y89" s="50">
        <v>3</v>
      </c>
      <c r="Z89" s="55">
        <v>89325.495552976849</v>
      </c>
      <c r="AA89" s="55">
        <v>62527.84688708379</v>
      </c>
      <c r="AB89" s="53">
        <v>2</v>
      </c>
      <c r="AC89" s="55"/>
      <c r="AD89" s="55"/>
      <c r="AE89" s="317">
        <f>MAX(Table1345[[#This Row],[Protection/GBV PiN]],Table1345[[#This Row],[CP_PiN]])</f>
        <v>30536.493254115609</v>
      </c>
      <c r="AF89" s="317">
        <f>MAX(Table1345[[#This Row],[Protection/GBV Target]],Table1345[[#This Row],[CP_Target]])</f>
        <v>18623</v>
      </c>
    </row>
    <row r="90" spans="1:32" x14ac:dyDescent="0.2">
      <c r="A90" s="3" t="s">
        <v>66</v>
      </c>
      <c r="B90" s="3" t="s">
        <v>73</v>
      </c>
      <c r="C90" s="223" t="s">
        <v>517</v>
      </c>
      <c r="D90" s="50">
        <v>3</v>
      </c>
      <c r="E90" s="55">
        <v>14288.962818556029</v>
      </c>
      <c r="F90" s="55">
        <v>10000</v>
      </c>
      <c r="G90" s="50"/>
      <c r="H90" s="55">
        <v>0</v>
      </c>
      <c r="I90" s="55"/>
      <c r="J90" s="50" t="s">
        <v>399</v>
      </c>
      <c r="K90" s="55">
        <v>4917.379736377985</v>
      </c>
      <c r="L90" s="55"/>
      <c r="M90" s="53"/>
      <c r="N90" s="55"/>
      <c r="O90" s="55"/>
      <c r="P90" s="57">
        <v>3.5</v>
      </c>
      <c r="Q90" s="55">
        <v>5906.3489727284559</v>
      </c>
      <c r="R90" s="55">
        <v>773</v>
      </c>
      <c r="S90" s="57">
        <v>1</v>
      </c>
      <c r="T90" s="55"/>
      <c r="U90" s="55">
        <v>0</v>
      </c>
      <c r="V90" s="50"/>
      <c r="W90" s="50"/>
      <c r="X90" s="50"/>
      <c r="Y90" s="50">
        <v>1</v>
      </c>
      <c r="Z90" s="55">
        <v>0</v>
      </c>
      <c r="AA90" s="55">
        <v>0</v>
      </c>
      <c r="AB90" s="53">
        <v>3</v>
      </c>
      <c r="AC90" s="55">
        <v>13290.215503724283</v>
      </c>
      <c r="AD90" s="55">
        <v>8638.640077420785</v>
      </c>
      <c r="AE90" s="317">
        <f>MAX(Table1345[[#This Row],[Protection/GBV PiN]],Table1345[[#This Row],[CP_PiN]])</f>
        <v>5906.3489727284559</v>
      </c>
      <c r="AF90" s="317">
        <f>MAX(Table1345[[#This Row],[Protection/GBV Target]],Table1345[[#This Row],[CP_Target]])</f>
        <v>773</v>
      </c>
    </row>
    <row r="91" spans="1:32" x14ac:dyDescent="0.2">
      <c r="A91" s="3" t="s">
        <v>66</v>
      </c>
      <c r="B91" s="3" t="s">
        <v>94</v>
      </c>
      <c r="C91" s="223" t="s">
        <v>518</v>
      </c>
      <c r="D91" s="50">
        <v>3</v>
      </c>
      <c r="E91" s="55">
        <v>25451</v>
      </c>
      <c r="F91" s="55">
        <v>24544.283519999997</v>
      </c>
      <c r="G91" s="50">
        <v>3</v>
      </c>
      <c r="H91" s="55">
        <v>0</v>
      </c>
      <c r="I91" s="55"/>
      <c r="J91" s="50" t="s">
        <v>399</v>
      </c>
      <c r="K91" s="55">
        <v>9958.4922458997571</v>
      </c>
      <c r="L91" s="55"/>
      <c r="M91" s="53"/>
      <c r="N91" s="55"/>
      <c r="O91" s="55"/>
      <c r="P91" s="57">
        <v>3.5</v>
      </c>
      <c r="Q91" s="55">
        <v>12751.690551213402</v>
      </c>
      <c r="R91" s="55">
        <v>1658</v>
      </c>
      <c r="S91" s="57">
        <v>2</v>
      </c>
      <c r="T91" s="55"/>
      <c r="U91" s="55">
        <v>0</v>
      </c>
      <c r="V91" s="50"/>
      <c r="W91" s="50"/>
      <c r="X91" s="50"/>
      <c r="Y91" s="50">
        <v>3</v>
      </c>
      <c r="Z91" s="55">
        <v>23911.093560074332</v>
      </c>
      <c r="AA91" s="55">
        <v>16737.765492052033</v>
      </c>
      <c r="AB91" s="53">
        <v>2</v>
      </c>
      <c r="AC91" s="55"/>
      <c r="AD91" s="55"/>
      <c r="AE91" s="317">
        <f>MAX(Table1345[[#This Row],[Protection/GBV PiN]],Table1345[[#This Row],[CP_PiN]])</f>
        <v>12751.690551213402</v>
      </c>
      <c r="AF91" s="317">
        <f>MAX(Table1345[[#This Row],[Protection/GBV Target]],Table1345[[#This Row],[CP_Target]])</f>
        <v>1658</v>
      </c>
    </row>
    <row r="92" spans="1:32" x14ac:dyDescent="0.2">
      <c r="A92" s="3" t="s">
        <v>66</v>
      </c>
      <c r="B92" s="3" t="s">
        <v>74</v>
      </c>
      <c r="C92" s="223" t="s">
        <v>517</v>
      </c>
      <c r="D92" s="50">
        <v>3</v>
      </c>
      <c r="E92" s="55">
        <v>11788.513637995491</v>
      </c>
      <c r="F92" s="55"/>
      <c r="G92" s="50"/>
      <c r="H92" s="55">
        <v>0</v>
      </c>
      <c r="I92" s="55"/>
      <c r="J92" s="50" t="s">
        <v>399</v>
      </c>
      <c r="K92" s="55">
        <v>2933.1800428758702</v>
      </c>
      <c r="L92" s="55"/>
      <c r="M92" s="53"/>
      <c r="N92" s="55"/>
      <c r="O92" s="55"/>
      <c r="P92" s="57">
        <v>3.5</v>
      </c>
      <c r="Q92" s="55">
        <v>3600.9511605560083</v>
      </c>
      <c r="R92" s="55">
        <v>0</v>
      </c>
      <c r="S92" s="57">
        <v>1</v>
      </c>
      <c r="T92" s="55"/>
      <c r="U92" s="55">
        <v>0</v>
      </c>
      <c r="V92" s="50"/>
      <c r="W92" s="50"/>
      <c r="X92" s="50"/>
      <c r="Y92" s="50">
        <v>2</v>
      </c>
      <c r="Z92" s="55">
        <v>0</v>
      </c>
      <c r="AA92" s="55"/>
      <c r="AB92" s="53">
        <v>2</v>
      </c>
      <c r="AC92" s="55"/>
      <c r="AD92" s="55"/>
      <c r="AE92" s="317">
        <f>MAX(Table1345[[#This Row],[Protection/GBV PiN]],Table1345[[#This Row],[CP_PiN]])</f>
        <v>3600.9511605560083</v>
      </c>
      <c r="AF92" s="317">
        <f>MAX(Table1345[[#This Row],[Protection/GBV Target]],Table1345[[#This Row],[CP_Target]])</f>
        <v>0</v>
      </c>
    </row>
    <row r="93" spans="1:32" x14ac:dyDescent="0.2">
      <c r="A93" s="3" t="s">
        <v>66</v>
      </c>
      <c r="B93" s="3" t="s">
        <v>93</v>
      </c>
      <c r="C93" s="223" t="s">
        <v>518</v>
      </c>
      <c r="D93" s="50">
        <v>3</v>
      </c>
      <c r="E93" s="55">
        <v>31722</v>
      </c>
      <c r="F93" s="55">
        <v>8898.8299109999989</v>
      </c>
      <c r="G93" s="50">
        <v>3</v>
      </c>
      <c r="H93" s="55">
        <v>0</v>
      </c>
      <c r="I93" s="55"/>
      <c r="J93" s="50" t="s">
        <v>402</v>
      </c>
      <c r="K93" s="55">
        <v>10282.041492432232</v>
      </c>
      <c r="L93" s="55">
        <v>10282.041492432232</v>
      </c>
      <c r="M93" s="53"/>
      <c r="N93" s="55"/>
      <c r="O93" s="55"/>
      <c r="P93" s="57">
        <v>3.5</v>
      </c>
      <c r="Q93" s="55">
        <v>11920.373042930738</v>
      </c>
      <c r="R93" s="55">
        <v>5633</v>
      </c>
      <c r="S93" s="57">
        <v>2</v>
      </c>
      <c r="T93" s="55"/>
      <c r="U93" s="55">
        <v>0</v>
      </c>
      <c r="V93" s="50"/>
      <c r="W93" s="50"/>
      <c r="X93" s="50"/>
      <c r="Y93" s="50">
        <v>2</v>
      </c>
      <c r="Z93" s="55">
        <v>0</v>
      </c>
      <c r="AA93" s="55"/>
      <c r="AB93" s="53">
        <v>3</v>
      </c>
      <c r="AC93" s="55">
        <v>12018.365368806441</v>
      </c>
      <c r="AD93" s="55">
        <v>7811.9374897241869</v>
      </c>
      <c r="AE93" s="317">
        <f>MAX(Table1345[[#This Row],[Protection/GBV PiN]],Table1345[[#This Row],[CP_PiN]])</f>
        <v>11920.373042930738</v>
      </c>
      <c r="AF93" s="317">
        <f>MAX(Table1345[[#This Row],[Protection/GBV Target]],Table1345[[#This Row],[CP_Target]])</f>
        <v>5633</v>
      </c>
    </row>
    <row r="94" spans="1:32" x14ac:dyDescent="0.2">
      <c r="A94" s="5" t="s">
        <v>66</v>
      </c>
      <c r="B94" s="5" t="s">
        <v>92</v>
      </c>
      <c r="C94" s="223" t="s">
        <v>517</v>
      </c>
      <c r="D94" s="50">
        <v>3</v>
      </c>
      <c r="E94" s="55">
        <v>24341.222179709475</v>
      </c>
      <c r="F94" s="55">
        <v>20000</v>
      </c>
      <c r="G94" s="50"/>
      <c r="H94" s="55">
        <v>0</v>
      </c>
      <c r="I94" s="55"/>
      <c r="J94" s="50" t="s">
        <v>402</v>
      </c>
      <c r="K94" s="55">
        <v>6190.3500090839234</v>
      </c>
      <c r="L94" s="55">
        <v>6190.3500090839234</v>
      </c>
      <c r="M94" s="53"/>
      <c r="N94" s="55"/>
      <c r="O94" s="55"/>
      <c r="P94" s="57">
        <v>3.5</v>
      </c>
      <c r="Q94" s="55">
        <v>7435.3353568568018</v>
      </c>
      <c r="R94" s="55">
        <v>0</v>
      </c>
      <c r="S94" s="57"/>
      <c r="T94" s="55"/>
      <c r="U94" s="55">
        <v>0</v>
      </c>
      <c r="V94" s="50"/>
      <c r="W94" s="50"/>
      <c r="X94" s="50"/>
      <c r="Y94" s="50">
        <v>2</v>
      </c>
      <c r="Z94" s="55">
        <v>0</v>
      </c>
      <c r="AA94" s="55"/>
      <c r="AB94" s="53">
        <v>3</v>
      </c>
      <c r="AC94" s="55">
        <v>7496.4580920816306</v>
      </c>
      <c r="AD94" s="55">
        <v>4872.6977598530602</v>
      </c>
      <c r="AE94" s="317">
        <f>MAX(Table1345[[#This Row],[Protection/GBV PiN]],Table1345[[#This Row],[CP_PiN]])</f>
        <v>7435.3353568568018</v>
      </c>
      <c r="AF94" s="317">
        <f>MAX(Table1345[[#This Row],[Protection/GBV Target]],Table1345[[#This Row],[CP_Target]])</f>
        <v>0</v>
      </c>
    </row>
    <row r="95" spans="1:32" x14ac:dyDescent="0.2">
      <c r="A95" s="9"/>
      <c r="B95" s="10"/>
      <c r="C95" s="227"/>
      <c r="D95" s="228"/>
      <c r="E95" s="210">
        <f>SUM(Table1345[FSC PiN])</f>
        <v>5724842.2323050192</v>
      </c>
      <c r="F95" s="210">
        <f>SUM(Table1345[FSC Target])</f>
        <v>3705699.6226004073</v>
      </c>
      <c r="G95" s="228"/>
      <c r="H95" s="210">
        <f>SUM(Table1345[Education PiN])</f>
        <v>1730587.4431886843</v>
      </c>
      <c r="I95" s="210">
        <f>SUM(Table1345[Education Target])</f>
        <v>811001.99460676173</v>
      </c>
      <c r="J95" s="228"/>
      <c r="K95" s="210">
        <f>SUM(Table1345[Nutrition PiN])</f>
        <v>1506414.6277730225</v>
      </c>
      <c r="L95" s="210">
        <f>SUM(Table1345[Nutrition Target])</f>
        <v>870437.61775812239</v>
      </c>
      <c r="M95" s="210"/>
      <c r="N95" s="210">
        <f>SUM(Table1345[Shelter/NFIs PiN])</f>
        <v>106533</v>
      </c>
      <c r="O95" s="210">
        <f>SUM(Table1345[Shelter/NFIs Target])</f>
        <v>81700</v>
      </c>
      <c r="P95" s="229"/>
      <c r="Q95" s="210">
        <f>SUM(Table1345[Protection/GBV PiN])</f>
        <v>2268105.1765108071</v>
      </c>
      <c r="R95" s="210">
        <f>SUM(Table1345[Protection/GBV Target])</f>
        <v>671191</v>
      </c>
      <c r="S95" s="229"/>
      <c r="T95" s="210">
        <f>SUM(Table1345[CP_PiN])</f>
        <v>1335508.5451340119</v>
      </c>
      <c r="U95" s="210">
        <f>SUM(Table1345[CP_Target])</f>
        <v>160261.02541608139</v>
      </c>
      <c r="V95" s="228"/>
      <c r="W95" s="210">
        <f>SUM(Table1345[CCCM_PiN])</f>
        <v>5032</v>
      </c>
      <c r="X95" s="210">
        <f>SUM(Table1345[CCCM_Target])</f>
        <v>3532</v>
      </c>
      <c r="Y95" s="228"/>
      <c r="Z95" s="210">
        <f>SUM(Table1345[WASH_PiN])</f>
        <v>3001631.9470417183</v>
      </c>
      <c r="AA95" s="210">
        <f>SUM(Table1345[WASH Targets])</f>
        <v>2113207.4756230842</v>
      </c>
      <c r="AB95" s="210"/>
      <c r="AC95" s="210">
        <f>SUM(Table1345[Health PiN])</f>
        <v>4152291.2890450279</v>
      </c>
      <c r="AD95" s="210">
        <f>SUM(Table1345[Health Target])</f>
        <v>2698989.3378792694</v>
      </c>
      <c r="AE95" s="210">
        <f>SUM(Table1345[Overall Protection PiN])</f>
        <v>2334757.1959187938</v>
      </c>
      <c r="AF95" s="210">
        <f>SUM(Table1345[Target])</f>
        <v>722290.66665351286</v>
      </c>
    </row>
  </sheetData>
  <mergeCells count="9">
    <mergeCell ref="D1:F1"/>
    <mergeCell ref="P1:R1"/>
    <mergeCell ref="AB1:AD1"/>
    <mergeCell ref="G1:I1"/>
    <mergeCell ref="J1:L1"/>
    <mergeCell ref="V1:X1"/>
    <mergeCell ref="M1:O1"/>
    <mergeCell ref="S1:U1"/>
    <mergeCell ref="Y1:AA1"/>
  </mergeCells>
  <phoneticPr fontId="11" type="noConversion"/>
  <conditionalFormatting sqref="C3:C94">
    <cfRule type="cellIs" dxfId="2" priority="1" operator="equal">
      <formula>$AF$66</formula>
    </cfRule>
  </conditionalFormatting>
  <pageMargins left="0.7" right="0.7" top="0.75" bottom="0.75" header="0.3" footer="0.3"/>
  <pageSetup orientation="portrait" r:id="rId1"/>
  <ignoredErrors>
    <ignoredError sqref="J3:J94" numberStoredAsText="1"/>
  </ignoredError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8E361-5DA2-403F-B727-BB24B64BE5AF}">
  <dimension ref="B1:J14"/>
  <sheetViews>
    <sheetView showGridLines="0" zoomScale="120" zoomScaleNormal="120" zoomScaleSheetLayoutView="150" workbookViewId="0">
      <pane xSplit="2" ySplit="1" topLeftCell="D2" activePane="bottomRight" state="frozen"/>
      <selection pane="topRight" activeCell="C1" sqref="C1"/>
      <selection pane="bottomLeft" activeCell="A3" sqref="A3"/>
      <selection pane="bottomRight" activeCell="I2" sqref="I2"/>
    </sheetView>
  </sheetViews>
  <sheetFormatPr defaultRowHeight="15" x14ac:dyDescent="0.25"/>
  <cols>
    <col min="2" max="2" width="18.85546875" customWidth="1"/>
    <col min="3" max="3" width="12.5703125" customWidth="1"/>
    <col min="4" max="4" width="12.5703125" bestFit="1" customWidth="1"/>
    <col min="5" max="5" width="10.85546875" customWidth="1"/>
    <col min="6" max="6" width="10.5703125" customWidth="1"/>
    <col min="7" max="7" width="2.42578125" style="254" customWidth="1"/>
    <col min="8" max="8" width="31.140625" customWidth="1"/>
    <col min="9" max="9" width="15.140625" customWidth="1"/>
    <col min="10" max="10" width="1.42578125" style="254" customWidth="1"/>
    <col min="11" max="28" width="8.5703125" customWidth="1"/>
  </cols>
  <sheetData>
    <row r="1" spans="2:9" ht="45.75" thickBot="1" x14ac:dyDescent="0.3">
      <c r="B1" s="250" t="s">
        <v>563</v>
      </c>
      <c r="C1" s="250" t="s">
        <v>568</v>
      </c>
      <c r="D1" s="250" t="s">
        <v>569</v>
      </c>
      <c r="E1" s="250" t="s">
        <v>570</v>
      </c>
      <c r="F1" s="250" t="s">
        <v>571</v>
      </c>
      <c r="G1" s="253"/>
      <c r="H1" s="255" t="s">
        <v>558</v>
      </c>
      <c r="I1" s="256" t="s">
        <v>561</v>
      </c>
    </row>
    <row r="2" spans="2:9" ht="15.75" thickTop="1" x14ac:dyDescent="0.25">
      <c r="B2" s="249" t="s">
        <v>201</v>
      </c>
      <c r="C2" s="251">
        <f>SUM(Table1345[CCCM_PiN])</f>
        <v>5032</v>
      </c>
      <c r="D2" s="251">
        <f>SUM(Table1345[CCCM_Target])</f>
        <v>3532</v>
      </c>
      <c r="E2" s="251"/>
      <c r="F2" s="251"/>
      <c r="H2" s="249" t="s">
        <v>559</v>
      </c>
      <c r="I2" s="251">
        <v>353316655</v>
      </c>
    </row>
    <row r="3" spans="2:9" x14ac:dyDescent="0.25">
      <c r="B3" s="249" t="s">
        <v>254</v>
      </c>
      <c r="C3" s="251">
        <f>SUM(Table1345[Education PiN])</f>
        <v>1730587.4431886843</v>
      </c>
      <c r="D3" s="251">
        <f>SUM(Table1345[Education Target])</f>
        <v>811001.99460676173</v>
      </c>
      <c r="E3" s="251"/>
      <c r="F3" s="251"/>
      <c r="H3" s="249" t="s">
        <v>270</v>
      </c>
      <c r="I3" s="251">
        <f>Table15[[#This Row],[Amount (US$)]]</f>
        <v>48124167</v>
      </c>
    </row>
    <row r="4" spans="2:9" x14ac:dyDescent="0.25">
      <c r="B4" s="249" t="s">
        <v>564</v>
      </c>
      <c r="C4" s="251">
        <f>SUM(Table1345[FSC PiN])</f>
        <v>5724842.2323050192</v>
      </c>
      <c r="D4" s="251">
        <f>SUM(Table1345[FSC Target])</f>
        <v>3705699.6226004073</v>
      </c>
      <c r="E4" s="251"/>
      <c r="F4" s="251"/>
      <c r="H4" s="249" t="s">
        <v>239</v>
      </c>
      <c r="I4" s="251">
        <f>Table15[[#This Row],[Amount (US$)]]</f>
        <v>37652747</v>
      </c>
    </row>
    <row r="5" spans="2:9" x14ac:dyDescent="0.25">
      <c r="B5" s="249" t="s">
        <v>270</v>
      </c>
      <c r="C5" s="251">
        <f>SUM(Table1345[Health PiN])</f>
        <v>4152291.2890450279</v>
      </c>
      <c r="D5" s="251">
        <f>SUM(Table1345[Health Target])</f>
        <v>2698989.3378792694</v>
      </c>
      <c r="E5" s="251"/>
      <c r="F5" s="251"/>
      <c r="H5" s="249" t="s">
        <v>254</v>
      </c>
      <c r="I5" s="251">
        <f>Table15[[#This Row],[Amount (US$)]]</f>
        <v>20432459</v>
      </c>
    </row>
    <row r="6" spans="2:9" x14ac:dyDescent="0.25">
      <c r="B6" s="249" t="s">
        <v>218</v>
      </c>
      <c r="C6" s="251">
        <f>SUM(Table1345[Nutrition PiN])</f>
        <v>1506414.6277730225</v>
      </c>
      <c r="D6" s="251">
        <f>SUM(Table1345[Nutrition Target])</f>
        <v>870437.61775812239</v>
      </c>
      <c r="E6" s="251"/>
      <c r="F6" s="251"/>
      <c r="H6" s="249" t="s">
        <v>286</v>
      </c>
      <c r="I6" s="251">
        <f>Table15[[#This Row],[Amount (US$)]]</f>
        <v>12056942</v>
      </c>
    </row>
    <row r="7" spans="2:9" x14ac:dyDescent="0.25">
      <c r="B7" s="249" t="s">
        <v>565</v>
      </c>
      <c r="C7" s="251">
        <f>SUM(Table1345[CP_PiN])</f>
        <v>1335508.5451340119</v>
      </c>
      <c r="D7" s="251">
        <f>SUM(Table1345[CP_Target])</f>
        <v>160261.02541608139</v>
      </c>
      <c r="E7" s="251"/>
      <c r="F7" s="251"/>
      <c r="H7" s="249" t="s">
        <v>218</v>
      </c>
      <c r="I7" s="251">
        <f>Table15[[#This Row],[Amount (US$)]]</f>
        <v>11311948</v>
      </c>
    </row>
    <row r="8" spans="2:9" x14ac:dyDescent="0.25">
      <c r="B8" s="249" t="s">
        <v>566</v>
      </c>
      <c r="C8" s="251">
        <f>SUM(Table1345[Protection/GBV PiN])</f>
        <v>2268105.1765108071</v>
      </c>
      <c r="D8" s="251">
        <f>SUM(Table1345[Protection/GBV Target])</f>
        <v>671191</v>
      </c>
      <c r="E8" s="251"/>
      <c r="F8" s="251"/>
      <c r="H8" s="249" t="s">
        <v>468</v>
      </c>
      <c r="I8" s="251">
        <f>Table15[[#This Row],[Amount (US$)]]</f>
        <v>9300000</v>
      </c>
    </row>
    <row r="9" spans="2:9" x14ac:dyDescent="0.25">
      <c r="B9" s="249" t="s">
        <v>468</v>
      </c>
      <c r="C9" s="251">
        <f>SUM(Table1345[Shelter/NFIs PiN])</f>
        <v>106533</v>
      </c>
      <c r="D9" s="251">
        <f>SUM(Table1345[Shelter/NFIs Target])</f>
        <v>81700</v>
      </c>
      <c r="E9" s="251"/>
      <c r="F9" s="251"/>
      <c r="H9" s="249" t="s">
        <v>313</v>
      </c>
      <c r="I9" s="251">
        <f>Table15[[#This Row],[Amount (US$)]]</f>
        <v>5300000</v>
      </c>
    </row>
    <row r="10" spans="2:9" x14ac:dyDescent="0.25">
      <c r="B10" s="249" t="s">
        <v>239</v>
      </c>
      <c r="C10" s="251">
        <f>SUM(Table1345[WASH_PiN])</f>
        <v>3001631.9470417183</v>
      </c>
      <c r="D10" s="251">
        <f>SUM(Table1345[WASH Targets])</f>
        <v>2113207.4756230842</v>
      </c>
      <c r="E10" s="251"/>
      <c r="F10" s="251"/>
      <c r="H10" s="249" t="s">
        <v>287</v>
      </c>
      <c r="I10" s="251">
        <f>Table15[[#This Row],[Amount (US$)]]</f>
        <v>4807830.7624824429</v>
      </c>
    </row>
    <row r="11" spans="2:9" x14ac:dyDescent="0.25">
      <c r="B11" s="249" t="s">
        <v>560</v>
      </c>
      <c r="C11" s="251"/>
      <c r="D11" s="251"/>
      <c r="E11" s="251"/>
      <c r="F11" s="251"/>
      <c r="H11" s="249" t="s">
        <v>201</v>
      </c>
      <c r="I11" s="251">
        <f>Table15[[#This Row],[Amount (US$)]]</f>
        <v>1474000</v>
      </c>
    </row>
    <row r="12" spans="2:9" ht="17.45" customHeight="1" x14ac:dyDescent="0.25">
      <c r="B12" s="252" t="s">
        <v>567</v>
      </c>
      <c r="C12" s="246"/>
      <c r="D12" s="246"/>
      <c r="E12" s="246">
        <f>SUM(Table136[Overall Intersectorial Final PiN])</f>
        <v>6845593.8939955505</v>
      </c>
      <c r="F12" s="246">
        <f>SUM(Table13611[Overall Intersectorial Final Target])</f>
        <v>4464096.6369115636</v>
      </c>
      <c r="H12" s="249" t="s">
        <v>562</v>
      </c>
      <c r="I12" s="251">
        <f>Table15[[#This Row],[Amount (US$)]]</f>
        <v>1000000</v>
      </c>
    </row>
    <row r="13" spans="2:9" x14ac:dyDescent="0.25">
      <c r="H13" s="249" t="s">
        <v>560</v>
      </c>
      <c r="I13" s="251">
        <f>Table15[[#This Row],[Amount (US$)]]</f>
        <v>694636</v>
      </c>
    </row>
    <row r="14" spans="2:9" x14ac:dyDescent="0.25">
      <c r="H14" s="249" t="s">
        <v>2</v>
      </c>
      <c r="I14" s="251">
        <f>SUM(I2:I13)</f>
        <v>505471384.76248246</v>
      </c>
    </row>
  </sheetData>
  <phoneticPr fontId="11" type="noConversion"/>
  <pageMargins left="0.7" right="0.7" top="0.75" bottom="0.75" header="0.3" footer="0.3"/>
  <pageSetup orientation="portrait"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B6D77-1818-4908-9134-85867DC46820}">
  <dimension ref="A1"/>
  <sheetViews>
    <sheetView topLeftCell="A7" workbookViewId="0">
      <selection activeCell="H23" sqref="H23"/>
    </sheetView>
  </sheetViews>
  <sheetFormatPr defaultRowHeight="15" x14ac:dyDescent="0.25"/>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D21C2-6090-44B4-B1B0-D1BC00A5F11E}">
  <dimension ref="A1:A18"/>
  <sheetViews>
    <sheetView workbookViewId="0">
      <selection activeCell="A18" sqref="A18"/>
    </sheetView>
  </sheetViews>
  <sheetFormatPr defaultColWidth="13.85546875" defaultRowHeight="15" customHeight="1" x14ac:dyDescent="0.25"/>
  <cols>
    <col min="1" max="1" width="104.140625" customWidth="1"/>
  </cols>
  <sheetData>
    <row r="1" spans="1:1" ht="15" customHeight="1" x14ac:dyDescent="0.25">
      <c r="A1" s="17" t="s">
        <v>161</v>
      </c>
    </row>
    <row r="2" spans="1:1" ht="15" customHeight="1" x14ac:dyDescent="0.25">
      <c r="A2" s="18" t="s">
        <v>162</v>
      </c>
    </row>
    <row r="4" spans="1:1" ht="15" customHeight="1" x14ac:dyDescent="0.25">
      <c r="A4" s="16" t="s">
        <v>163</v>
      </c>
    </row>
    <row r="5" spans="1:1" ht="15" customHeight="1" x14ac:dyDescent="0.25">
      <c r="A5" s="16"/>
    </row>
    <row r="6" spans="1:1" ht="15" customHeight="1" x14ac:dyDescent="0.25">
      <c r="A6" s="16" t="s">
        <v>164</v>
      </c>
    </row>
    <row r="7" spans="1:1" ht="15" customHeight="1" x14ac:dyDescent="0.25">
      <c r="A7" s="16" t="s">
        <v>165</v>
      </c>
    </row>
    <row r="8" spans="1:1" ht="15" customHeight="1" x14ac:dyDescent="0.25">
      <c r="A8" s="16" t="s">
        <v>166</v>
      </c>
    </row>
    <row r="9" spans="1:1" ht="15" customHeight="1" x14ac:dyDescent="0.25">
      <c r="A9" s="16" t="s">
        <v>167</v>
      </c>
    </row>
    <row r="10" spans="1:1" ht="15" customHeight="1" x14ac:dyDescent="0.25">
      <c r="A10" s="16" t="s">
        <v>168</v>
      </c>
    </row>
    <row r="11" spans="1:1" ht="15" customHeight="1" x14ac:dyDescent="0.25">
      <c r="A11" s="16"/>
    </row>
    <row r="12" spans="1:1" ht="15" customHeight="1" x14ac:dyDescent="0.25">
      <c r="A12" s="16" t="s">
        <v>169</v>
      </c>
    </row>
    <row r="13" spans="1:1" ht="15" customHeight="1" x14ac:dyDescent="0.25">
      <c r="A13" s="16"/>
    </row>
    <row r="14" spans="1:1" ht="15" customHeight="1" x14ac:dyDescent="0.25">
      <c r="A14" s="16" t="s">
        <v>170</v>
      </c>
    </row>
    <row r="15" spans="1:1" ht="15" customHeight="1" x14ac:dyDescent="0.25">
      <c r="A15" s="16"/>
    </row>
    <row r="16" spans="1:1" ht="15" customHeight="1" x14ac:dyDescent="0.25">
      <c r="A16" s="16" t="s">
        <v>171</v>
      </c>
    </row>
    <row r="18" spans="1:1" ht="15" customHeight="1" x14ac:dyDescent="0.25">
      <c r="A18" s="16"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ADD30-5B90-4E8B-8C98-7E10DF54BB6D}">
  <dimension ref="B2:F10"/>
  <sheetViews>
    <sheetView workbookViewId="0">
      <selection activeCell="F2" sqref="F2:F10"/>
    </sheetView>
  </sheetViews>
  <sheetFormatPr defaultRowHeight="15" x14ac:dyDescent="0.25"/>
  <cols>
    <col min="6" max="6" width="25" customWidth="1"/>
  </cols>
  <sheetData>
    <row r="2" spans="2:6" x14ac:dyDescent="0.25">
      <c r="B2" t="s">
        <v>150</v>
      </c>
      <c r="F2" t="s">
        <v>174</v>
      </c>
    </row>
    <row r="3" spans="2:6" x14ac:dyDescent="0.25">
      <c r="B3" t="s">
        <v>151</v>
      </c>
      <c r="F3" t="s">
        <v>175</v>
      </c>
    </row>
    <row r="4" spans="2:6" x14ac:dyDescent="0.25">
      <c r="F4" t="s">
        <v>176</v>
      </c>
    </row>
    <row r="5" spans="2:6" x14ac:dyDescent="0.25">
      <c r="F5" t="s">
        <v>178</v>
      </c>
    </row>
    <row r="6" spans="2:6" x14ac:dyDescent="0.25">
      <c r="F6" t="s">
        <v>177</v>
      </c>
    </row>
    <row r="7" spans="2:6" x14ac:dyDescent="0.25">
      <c r="F7" t="s">
        <v>179</v>
      </c>
    </row>
    <row r="8" spans="2:6" x14ac:dyDescent="0.25">
      <c r="F8" t="s">
        <v>180</v>
      </c>
    </row>
    <row r="9" spans="2:6" x14ac:dyDescent="0.25">
      <c r="F9" t="s">
        <v>173</v>
      </c>
    </row>
    <row r="10" spans="2:6" x14ac:dyDescent="0.25">
      <c r="F10"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5892F-C70D-4922-BB6D-9DECF3F26FF7}">
  <dimension ref="A1:S18"/>
  <sheetViews>
    <sheetView showGridLines="0" workbookViewId="0">
      <selection activeCell="G13" sqref="G13"/>
    </sheetView>
  </sheetViews>
  <sheetFormatPr defaultRowHeight="15" x14ac:dyDescent="0.25"/>
  <cols>
    <col min="1" max="1" width="9.85546875" customWidth="1"/>
    <col min="2" max="3" width="12.5703125" bestFit="1" customWidth="1"/>
    <col min="5" max="7" width="12.7109375" bestFit="1" customWidth="1"/>
    <col min="9" max="10" width="12.7109375" bestFit="1" customWidth="1"/>
    <col min="11" max="11" width="13.85546875" bestFit="1" customWidth="1"/>
    <col min="13" max="15" width="11.140625" bestFit="1" customWidth="1"/>
    <col min="17" max="19" width="11.140625" bestFit="1" customWidth="1"/>
  </cols>
  <sheetData>
    <row r="1" spans="1:19" x14ac:dyDescent="0.25">
      <c r="A1" s="347" t="s">
        <v>107</v>
      </c>
      <c r="B1" s="347"/>
      <c r="C1" s="347"/>
      <c r="E1" s="347" t="s">
        <v>108</v>
      </c>
      <c r="F1" s="347"/>
      <c r="G1" s="347"/>
      <c r="I1" s="347" t="s">
        <v>109</v>
      </c>
      <c r="J1" s="347"/>
      <c r="K1" s="347"/>
      <c r="M1" s="347" t="s">
        <v>110</v>
      </c>
      <c r="N1" s="347"/>
      <c r="O1" s="347"/>
      <c r="Q1" s="347" t="s">
        <v>111</v>
      </c>
      <c r="R1" s="347"/>
      <c r="S1" s="347"/>
    </row>
    <row r="2" spans="1:19" x14ac:dyDescent="0.25">
      <c r="A2" s="11" t="s">
        <v>3</v>
      </c>
      <c r="B2" s="11" t="s">
        <v>4</v>
      </c>
      <c r="C2" s="11" t="s">
        <v>2</v>
      </c>
      <c r="E2" s="11" t="s">
        <v>3</v>
      </c>
      <c r="F2" s="11" t="s">
        <v>4</v>
      </c>
      <c r="G2" s="11" t="s">
        <v>2</v>
      </c>
      <c r="I2" s="11" t="s">
        <v>3</v>
      </c>
      <c r="J2" s="11" t="s">
        <v>4</v>
      </c>
      <c r="K2" s="11" t="s">
        <v>2</v>
      </c>
      <c r="M2" s="11" t="s">
        <v>3</v>
      </c>
      <c r="N2" s="11" t="s">
        <v>4</v>
      </c>
      <c r="O2" s="11" t="s">
        <v>2</v>
      </c>
      <c r="Q2" s="11" t="s">
        <v>3</v>
      </c>
      <c r="R2" s="11" t="s">
        <v>4</v>
      </c>
      <c r="S2" s="11" t="s">
        <v>2</v>
      </c>
    </row>
    <row r="3" spans="1:19" x14ac:dyDescent="0.25">
      <c r="A3" s="14">
        <v>1230616</v>
      </c>
      <c r="B3" s="14">
        <v>1243201</v>
      </c>
      <c r="C3" s="14">
        <v>2473817</v>
      </c>
      <c r="E3" s="14">
        <v>1230616</v>
      </c>
      <c r="F3" s="14">
        <v>1243201</v>
      </c>
      <c r="G3" s="14">
        <v>2473817</v>
      </c>
      <c r="I3" s="14">
        <v>875183</v>
      </c>
      <c r="J3" s="14">
        <v>871128</v>
      </c>
      <c r="K3" s="14">
        <v>1746311</v>
      </c>
      <c r="M3" s="14">
        <v>185193</v>
      </c>
      <c r="N3" s="14">
        <v>196941</v>
      </c>
      <c r="O3" s="14">
        <v>382134</v>
      </c>
      <c r="Q3" s="14">
        <v>84905</v>
      </c>
      <c r="R3" s="14">
        <v>134471</v>
      </c>
      <c r="S3" s="14">
        <v>219376</v>
      </c>
    </row>
    <row r="4" spans="1:19" x14ac:dyDescent="0.25">
      <c r="E4" s="14">
        <v>1095439</v>
      </c>
      <c r="F4" s="14">
        <v>1109804</v>
      </c>
      <c r="G4" s="14">
        <v>2205243</v>
      </c>
      <c r="I4" s="14">
        <v>745086</v>
      </c>
      <c r="J4" s="14">
        <v>750035</v>
      </c>
      <c r="K4" s="14">
        <v>1495121</v>
      </c>
      <c r="M4" s="14">
        <v>143251</v>
      </c>
      <c r="N4" s="14">
        <v>182650</v>
      </c>
      <c r="O4" s="14">
        <v>325901</v>
      </c>
      <c r="Q4" s="14">
        <v>64607</v>
      </c>
      <c r="R4" s="14">
        <v>95268</v>
      </c>
      <c r="S4" s="14">
        <v>159875</v>
      </c>
    </row>
    <row r="5" spans="1:19" x14ac:dyDescent="0.25">
      <c r="A5" s="6">
        <f>A3/I15</f>
        <v>0.15842476389146717</v>
      </c>
      <c r="B5" s="6">
        <f>B3/J15</f>
        <v>0.14826595637726167</v>
      </c>
      <c r="C5" s="6">
        <f>C3/K15</f>
        <v>0.1531513025788464</v>
      </c>
      <c r="E5" s="14">
        <v>985305</v>
      </c>
      <c r="F5" s="14">
        <v>992778</v>
      </c>
      <c r="G5" s="14">
        <v>1978083</v>
      </c>
      <c r="I5" s="14">
        <v>594652</v>
      </c>
      <c r="J5" s="14">
        <v>664852</v>
      </c>
      <c r="K5" s="14">
        <v>1259504</v>
      </c>
      <c r="M5" s="14">
        <v>110685</v>
      </c>
      <c r="N5" s="14">
        <v>176094</v>
      </c>
      <c r="O5" s="14">
        <v>286779</v>
      </c>
      <c r="Q5" s="14">
        <v>46670</v>
      </c>
      <c r="R5" s="14">
        <v>69382</v>
      </c>
      <c r="S5" s="14">
        <v>116052</v>
      </c>
    </row>
    <row r="6" spans="1:19" x14ac:dyDescent="0.25">
      <c r="E6" s="14">
        <v>875183</v>
      </c>
      <c r="F6" s="14">
        <v>871128</v>
      </c>
      <c r="G6" s="14">
        <v>1746311</v>
      </c>
      <c r="I6" s="14">
        <v>470910</v>
      </c>
      <c r="J6" s="14">
        <v>595670</v>
      </c>
      <c r="K6" s="14">
        <v>1066580</v>
      </c>
      <c r="M6" s="12">
        <f>SUM(M3:M5)</f>
        <v>439129</v>
      </c>
      <c r="N6" s="12">
        <f>SUM(N3:N5)</f>
        <v>555685</v>
      </c>
      <c r="O6" s="12">
        <f>SUM(O3:O5)</f>
        <v>994814</v>
      </c>
      <c r="Q6" s="14">
        <v>64573</v>
      </c>
      <c r="R6" s="14">
        <v>104894</v>
      </c>
      <c r="S6" s="14">
        <v>169467</v>
      </c>
    </row>
    <row r="7" spans="1:19" x14ac:dyDescent="0.25">
      <c r="E7" s="12">
        <f>SUM(E3:E6)</f>
        <v>4186543</v>
      </c>
      <c r="F7" s="12">
        <f>SUM(F3:F6)</f>
        <v>4216911</v>
      </c>
      <c r="G7" s="12">
        <f>SUM(G3:G6)</f>
        <v>8403454</v>
      </c>
      <c r="I7" s="14">
        <v>422277</v>
      </c>
      <c r="J7" s="14">
        <v>501577</v>
      </c>
      <c r="K7" s="14">
        <v>923854</v>
      </c>
      <c r="Q7" s="12">
        <f>SUM(Q3:Q6)</f>
        <v>260755</v>
      </c>
      <c r="R7" s="12">
        <f>SUM(R3:R6)</f>
        <v>404015</v>
      </c>
      <c r="S7" s="12">
        <f>SUM(S3:S6)</f>
        <v>664770</v>
      </c>
    </row>
    <row r="8" spans="1:19" x14ac:dyDescent="0.25">
      <c r="A8" s="347" t="s">
        <v>264</v>
      </c>
      <c r="B8" s="347"/>
      <c r="C8" s="347"/>
      <c r="I8" s="14">
        <v>372980</v>
      </c>
      <c r="J8" s="14">
        <v>402977</v>
      </c>
      <c r="K8" s="14">
        <v>775957</v>
      </c>
      <c r="M8" s="6">
        <f>M6/I15</f>
        <v>5.6531776072224066E-2</v>
      </c>
      <c r="N8" s="6">
        <f>N6/J15</f>
        <v>6.6271799949886342E-2</v>
      </c>
      <c r="O8" s="6">
        <f>O6/K15</f>
        <v>6.1587845796060303E-2</v>
      </c>
    </row>
    <row r="9" spans="1:19" x14ac:dyDescent="0.25">
      <c r="A9" s="11" t="s">
        <v>3</v>
      </c>
      <c r="B9" s="11" t="s">
        <v>4</v>
      </c>
      <c r="C9" s="11" t="s">
        <v>2</v>
      </c>
      <c r="E9" s="6">
        <f>E7/I15</f>
        <v>0.53895942056374591</v>
      </c>
      <c r="F9" s="6">
        <f>F7/J15</f>
        <v>0.5029149287788498</v>
      </c>
      <c r="G9" s="6">
        <f>G7/K15</f>
        <v>0.52024863854578463</v>
      </c>
      <c r="I9" s="14">
        <v>275494</v>
      </c>
      <c r="J9" s="14">
        <v>293217</v>
      </c>
      <c r="K9" s="14">
        <v>568711</v>
      </c>
      <c r="Q9" s="6">
        <f>Q7/I15</f>
        <v>3.3568594353169084E-2</v>
      </c>
      <c r="R9" s="6">
        <f>R7/J15</f>
        <v>4.8183415526338355E-2</v>
      </c>
      <c r="S9" s="6">
        <f>S7/K15</f>
        <v>4.1155183029035584E-2</v>
      </c>
    </row>
    <row r="10" spans="1:19" x14ac:dyDescent="0.25">
      <c r="A10" s="14">
        <v>615308</v>
      </c>
      <c r="B10" s="14">
        <v>621601</v>
      </c>
      <c r="C10" s="14">
        <v>1236909</v>
      </c>
      <c r="I10" s="12">
        <f>SUM(I3:I9)</f>
        <v>3756582</v>
      </c>
      <c r="J10" s="12">
        <f>SUM(J3:J9)</f>
        <v>4079456</v>
      </c>
      <c r="K10" s="12">
        <f>SUM(K3:K9)</f>
        <v>7836038</v>
      </c>
    </row>
    <row r="11" spans="1:19" x14ac:dyDescent="0.25">
      <c r="A11" s="6">
        <f>A10/I15</f>
        <v>7.9212381945733587E-2</v>
      </c>
      <c r="B11" s="6">
        <f>B10/J15</f>
        <v>7.4133037819356831E-2</v>
      </c>
      <c r="C11" s="6">
        <f>C10/K15</f>
        <v>7.6575682243875898E-2</v>
      </c>
    </row>
    <row r="12" spans="1:19" x14ac:dyDescent="0.25">
      <c r="I12" s="6">
        <f>I10/I15</f>
        <v>0.48360789749924882</v>
      </c>
      <c r="J12" s="6">
        <f>J10/J15</f>
        <v>0.48652184589536074</v>
      </c>
      <c r="K12" s="6">
        <f>K10/K15</f>
        <v>0.48512053509105096</v>
      </c>
    </row>
    <row r="14" spans="1:19" x14ac:dyDescent="0.25">
      <c r="I14" s="12" t="s">
        <v>3</v>
      </c>
      <c r="J14" s="12" t="s">
        <v>4</v>
      </c>
      <c r="K14" s="12" t="s">
        <v>2</v>
      </c>
    </row>
    <row r="15" spans="1:19" x14ac:dyDescent="0.25">
      <c r="I15" s="12">
        <v>7767826</v>
      </c>
      <c r="J15" s="12">
        <v>8384939</v>
      </c>
      <c r="K15" s="12">
        <v>16152765</v>
      </c>
    </row>
    <row r="17" spans="9:11" x14ac:dyDescent="0.25">
      <c r="I17" s="347" t="s">
        <v>173</v>
      </c>
      <c r="J17" s="347"/>
      <c r="K17" s="347"/>
    </row>
    <row r="18" spans="9:11" x14ac:dyDescent="0.25">
      <c r="I18" s="23">
        <f>7%*I15</f>
        <v>543747.82000000007</v>
      </c>
      <c r="J18" s="23">
        <f>7%*J15</f>
        <v>586945.7300000001</v>
      </c>
      <c r="K18" s="23">
        <f>7%*K15</f>
        <v>1130693.55</v>
      </c>
    </row>
  </sheetData>
  <mergeCells count="7">
    <mergeCell ref="Q1:S1"/>
    <mergeCell ref="I17:K17"/>
    <mergeCell ref="A1:C1"/>
    <mergeCell ref="E1:G1"/>
    <mergeCell ref="I1:K1"/>
    <mergeCell ref="M1:O1"/>
    <mergeCell ref="A8:C8"/>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F1717-6FB7-4B95-B02B-DBDF9EB92CBA}">
  <dimension ref="A1:S71"/>
  <sheetViews>
    <sheetView showGridLines="0" workbookViewId="0">
      <pane xSplit="2" ySplit="1" topLeftCell="G35" activePane="bottomRight" state="frozen"/>
      <selection pane="topRight" activeCell="C1" sqref="C1"/>
      <selection pane="bottomLeft" activeCell="A2" sqref="A2"/>
      <selection pane="bottomRight" activeCell="K70" sqref="K70"/>
    </sheetView>
  </sheetViews>
  <sheetFormatPr defaultRowHeight="15" x14ac:dyDescent="0.25"/>
  <cols>
    <col min="1" max="1" width="20.140625" customWidth="1"/>
    <col min="2" max="2" width="12.42578125" customWidth="1"/>
    <col min="3" max="7" width="12.7109375" bestFit="1" customWidth="1"/>
    <col min="8" max="9" width="11.140625" bestFit="1" customWidth="1"/>
    <col min="14" max="14" width="11.85546875" customWidth="1"/>
    <col min="15" max="15" width="14.140625" customWidth="1"/>
    <col min="16" max="16" width="2.28515625" style="234" customWidth="1"/>
    <col min="17" max="17" width="11.85546875" customWidth="1"/>
    <col min="18" max="18" width="10.28515625" customWidth="1"/>
    <col min="19" max="19" width="11.140625" customWidth="1"/>
  </cols>
  <sheetData>
    <row r="1" spans="1:19" ht="20.45" customHeight="1" x14ac:dyDescent="0.25">
      <c r="A1" s="235" t="s">
        <v>545</v>
      </c>
      <c r="B1" s="235" t="s">
        <v>546</v>
      </c>
      <c r="C1" s="235" t="s">
        <v>538</v>
      </c>
      <c r="D1" s="235" t="s">
        <v>539</v>
      </c>
      <c r="E1" s="235" t="s">
        <v>540</v>
      </c>
      <c r="F1" s="235" t="s">
        <v>541</v>
      </c>
      <c r="G1" s="235" t="s">
        <v>542</v>
      </c>
      <c r="H1" s="235" t="s">
        <v>543</v>
      </c>
      <c r="I1" s="235" t="s">
        <v>544</v>
      </c>
      <c r="J1" s="235" t="s">
        <v>552</v>
      </c>
      <c r="K1" s="235" t="s">
        <v>553</v>
      </c>
      <c r="L1" s="235" t="s">
        <v>554</v>
      </c>
      <c r="M1" s="235" t="s">
        <v>555</v>
      </c>
      <c r="N1" s="236" t="s">
        <v>556</v>
      </c>
      <c r="O1" s="236" t="s">
        <v>557</v>
      </c>
      <c r="Q1" s="247" t="s">
        <v>3</v>
      </c>
      <c r="R1" s="247" t="s">
        <v>4</v>
      </c>
      <c r="S1" s="247" t="s">
        <v>515</v>
      </c>
    </row>
    <row r="2" spans="1:19" x14ac:dyDescent="0.25">
      <c r="A2" s="231" t="s">
        <v>5</v>
      </c>
      <c r="B2" s="232" t="s">
        <v>5</v>
      </c>
      <c r="C2" s="232"/>
      <c r="D2" s="232">
        <v>19783</v>
      </c>
      <c r="E2" s="232">
        <v>39968</v>
      </c>
      <c r="F2" s="232">
        <v>23895</v>
      </c>
      <c r="G2" s="232">
        <v>32000</v>
      </c>
      <c r="H2" s="232">
        <v>31998</v>
      </c>
      <c r="I2" s="232">
        <v>12000</v>
      </c>
      <c r="J2" s="232"/>
      <c r="K2" s="232"/>
      <c r="L2" s="232"/>
      <c r="M2" s="232"/>
      <c r="N2" s="230">
        <f>MAX(Table11[[#This Row],[Feb]:[Dec]])</f>
        <v>39968</v>
      </c>
      <c r="O2" s="230">
        <v>39968</v>
      </c>
      <c r="Q2" s="230">
        <f>Table11[[#This Row],[Overaall Reached]]*0.48</f>
        <v>19184.64</v>
      </c>
      <c r="R2" s="230">
        <f>Table11[[#This Row],[Overaall Reached]]-Table14[[#This Row],[Male]]</f>
        <v>20783.36</v>
      </c>
      <c r="S2" s="230">
        <f>Table11[[#This Row],[Overaall Reached]]*0.07</f>
        <v>2797.76</v>
      </c>
    </row>
    <row r="3" spans="1:19" x14ac:dyDescent="0.25">
      <c r="A3" s="231" t="s">
        <v>84</v>
      </c>
      <c r="B3" s="232" t="s">
        <v>86</v>
      </c>
      <c r="C3" s="232">
        <v>21845</v>
      </c>
      <c r="D3" s="232">
        <v>40795</v>
      </c>
      <c r="E3" s="232">
        <v>37990</v>
      </c>
      <c r="F3" s="232">
        <v>21795</v>
      </c>
      <c r="G3" s="232">
        <v>19000</v>
      </c>
      <c r="H3" s="232">
        <v>19220</v>
      </c>
      <c r="I3" s="232">
        <v>35200</v>
      </c>
      <c r="J3" s="232"/>
      <c r="K3" s="232"/>
      <c r="L3" s="232"/>
      <c r="M3" s="232"/>
      <c r="N3" s="230">
        <f>MAX(Table11[[#This Row],[Feb]:[Dec]])</f>
        <v>40795</v>
      </c>
      <c r="O3" s="230">
        <v>19220</v>
      </c>
      <c r="Q3" s="230">
        <f>Table11[[#This Row],[Overaall Reached]]*0.48</f>
        <v>9225.6</v>
      </c>
      <c r="R3" s="230">
        <f>Table11[[#This Row],[Overaall Reached]]-Table14[[#This Row],[Male]]</f>
        <v>9994.4</v>
      </c>
      <c r="S3" s="230">
        <f>Table11[[#This Row],[Overaall Reached]]*0.07</f>
        <v>1345.4</v>
      </c>
    </row>
    <row r="4" spans="1:19" x14ac:dyDescent="0.25">
      <c r="A4" s="231" t="s">
        <v>84</v>
      </c>
      <c r="B4" s="232" t="s">
        <v>84</v>
      </c>
      <c r="C4" s="232"/>
      <c r="D4" s="232">
        <v>12000</v>
      </c>
      <c r="E4" s="232">
        <v>12000</v>
      </c>
      <c r="F4" s="232">
        <v>12000</v>
      </c>
      <c r="G4" s="232">
        <v>30000</v>
      </c>
      <c r="H4" s="232">
        <v>30158</v>
      </c>
      <c r="I4" s="232">
        <v>26908</v>
      </c>
      <c r="J4" s="232"/>
      <c r="K4" s="232"/>
      <c r="L4" s="232"/>
      <c r="M4" s="232"/>
      <c r="N4" s="230">
        <f>MAX(Table11[[#This Row],[Feb]:[Dec]])</f>
        <v>30158</v>
      </c>
      <c r="O4" s="230">
        <v>12000</v>
      </c>
      <c r="Q4" s="230">
        <f>Table11[[#This Row],[Overaall Reached]]*0.48</f>
        <v>5760</v>
      </c>
      <c r="R4" s="230">
        <f>Table11[[#This Row],[Overaall Reached]]-Table14[[#This Row],[Male]]</f>
        <v>6240</v>
      </c>
      <c r="S4" s="230">
        <f>Table11[[#This Row],[Overaall Reached]]*0.07</f>
        <v>840.00000000000011</v>
      </c>
    </row>
    <row r="5" spans="1:19" x14ac:dyDescent="0.25">
      <c r="A5" s="231" t="s">
        <v>84</v>
      </c>
      <c r="B5" s="232" t="s">
        <v>87</v>
      </c>
      <c r="C5" s="232">
        <v>1450</v>
      </c>
      <c r="D5" s="232">
        <v>1450</v>
      </c>
      <c r="E5" s="232"/>
      <c r="F5" s="232">
        <v>1450</v>
      </c>
      <c r="G5" s="232"/>
      <c r="H5" s="232"/>
      <c r="I5" s="232">
        <v>23000</v>
      </c>
      <c r="J5" s="232"/>
      <c r="K5" s="232"/>
      <c r="L5" s="232"/>
      <c r="M5" s="232"/>
      <c r="N5" s="230">
        <f>MAX(Table11[[#This Row],[Feb]:[Dec]])</f>
        <v>23000</v>
      </c>
      <c r="O5" s="230">
        <v>23000</v>
      </c>
      <c r="Q5" s="230">
        <f>Table11[[#This Row],[Overaall Reached]]*0.48</f>
        <v>11040</v>
      </c>
      <c r="R5" s="230">
        <f>Table11[[#This Row],[Overaall Reached]]-Table14[[#This Row],[Male]]</f>
        <v>11960</v>
      </c>
      <c r="S5" s="230">
        <f>Table11[[#This Row],[Overaall Reached]]*0.07</f>
        <v>1610.0000000000002</v>
      </c>
    </row>
    <row r="6" spans="1:19" x14ac:dyDescent="0.25">
      <c r="A6" s="231" t="s">
        <v>6</v>
      </c>
      <c r="B6" s="232" t="s">
        <v>7</v>
      </c>
      <c r="C6" s="232">
        <v>94006</v>
      </c>
      <c r="D6" s="232">
        <v>94006</v>
      </c>
      <c r="E6" s="232">
        <v>167165</v>
      </c>
      <c r="F6" s="232">
        <v>83852</v>
      </c>
      <c r="G6" s="232">
        <v>84248</v>
      </c>
      <c r="H6" s="232">
        <v>38719</v>
      </c>
      <c r="I6" s="232">
        <v>44848</v>
      </c>
      <c r="J6" s="232"/>
      <c r="K6" s="232"/>
      <c r="L6" s="232"/>
      <c r="M6" s="232"/>
      <c r="N6" s="230">
        <f>Table11[[#This Row],[May]]</f>
        <v>83852</v>
      </c>
      <c r="O6" s="230">
        <v>83852</v>
      </c>
      <c r="Q6" s="230">
        <f>Table11[[#This Row],[Overaall Reached]]*0.48</f>
        <v>40248.959999999999</v>
      </c>
      <c r="R6" s="230">
        <f>Table11[[#This Row],[Overaall Reached]]-Table14[[#This Row],[Male]]</f>
        <v>43603.040000000001</v>
      </c>
      <c r="S6" s="230">
        <f>Table11[[#This Row],[Overaall Reached]]*0.07</f>
        <v>5869.64</v>
      </c>
    </row>
    <row r="7" spans="1:19" x14ac:dyDescent="0.25">
      <c r="A7" s="231" t="s">
        <v>6</v>
      </c>
      <c r="B7" s="232" t="s">
        <v>8</v>
      </c>
      <c r="C7" s="232">
        <v>57325</v>
      </c>
      <c r="D7" s="232">
        <v>40380</v>
      </c>
      <c r="E7" s="232">
        <v>67963</v>
      </c>
      <c r="F7" s="232">
        <v>87542</v>
      </c>
      <c r="G7" s="232">
        <v>87542</v>
      </c>
      <c r="H7" s="232"/>
      <c r="I7" s="232">
        <v>3700</v>
      </c>
      <c r="J7" s="232"/>
      <c r="K7" s="232"/>
      <c r="L7" s="232"/>
      <c r="M7" s="232"/>
      <c r="N7" s="230">
        <f>MAX(Table11[[#This Row],[Feb]:[Dec]])</f>
        <v>87542</v>
      </c>
      <c r="O7" s="230">
        <v>87542</v>
      </c>
      <c r="Q7" s="230">
        <f>Table11[[#This Row],[Overaall Reached]]*0.48</f>
        <v>42020.159999999996</v>
      </c>
      <c r="R7" s="230">
        <f>Table11[[#This Row],[Overaall Reached]]-Table14[[#This Row],[Male]]</f>
        <v>45521.840000000004</v>
      </c>
      <c r="S7" s="230">
        <f>Table11[[#This Row],[Overaall Reached]]*0.07</f>
        <v>6127.9400000000005</v>
      </c>
    </row>
    <row r="8" spans="1:19" x14ac:dyDescent="0.25">
      <c r="A8" s="231" t="s">
        <v>6</v>
      </c>
      <c r="B8" s="232" t="s">
        <v>89</v>
      </c>
      <c r="C8" s="232">
        <v>146630</v>
      </c>
      <c r="D8" s="232">
        <v>147216</v>
      </c>
      <c r="E8" s="232">
        <v>146861</v>
      </c>
      <c r="F8" s="232">
        <v>128833</v>
      </c>
      <c r="G8" s="232">
        <v>130238</v>
      </c>
      <c r="H8" s="232">
        <v>7617</v>
      </c>
      <c r="I8" s="232">
        <v>91349</v>
      </c>
      <c r="J8" s="232"/>
      <c r="K8" s="232"/>
      <c r="L8" s="232"/>
      <c r="M8" s="232"/>
      <c r="N8" s="230">
        <f>Table11[[#This Row],[Apr]]</f>
        <v>146861</v>
      </c>
      <c r="O8" s="230">
        <v>128833</v>
      </c>
      <c r="Q8" s="230">
        <f>Table11[[#This Row],[Overaall Reached]]*0.48</f>
        <v>61839.839999999997</v>
      </c>
      <c r="R8" s="230">
        <f>Table11[[#This Row],[Overaall Reached]]-Table14[[#This Row],[Male]]</f>
        <v>66993.16</v>
      </c>
      <c r="S8" s="230">
        <f>Table11[[#This Row],[Overaall Reached]]*0.07</f>
        <v>9018.3100000000013</v>
      </c>
    </row>
    <row r="9" spans="1:19" x14ac:dyDescent="0.25">
      <c r="A9" s="231" t="s">
        <v>6</v>
      </c>
      <c r="B9" s="232" t="s">
        <v>9</v>
      </c>
      <c r="C9" s="232">
        <v>39442</v>
      </c>
      <c r="D9" s="232">
        <v>19477</v>
      </c>
      <c r="E9" s="232">
        <v>50227</v>
      </c>
      <c r="F9" s="232"/>
      <c r="G9" s="232"/>
      <c r="H9" s="232"/>
      <c r="I9" s="232"/>
      <c r="J9" s="232"/>
      <c r="K9" s="232"/>
      <c r="L9" s="232"/>
      <c r="M9" s="232"/>
      <c r="N9" s="230">
        <f>MAX(Table11[[#This Row],[Feb]:[Dec]])</f>
        <v>50227</v>
      </c>
      <c r="O9" s="230">
        <v>50227</v>
      </c>
      <c r="Q9" s="230">
        <f>Table11[[#This Row],[Overaall Reached]]*0.48</f>
        <v>24108.959999999999</v>
      </c>
      <c r="R9" s="230">
        <f>Table11[[#This Row],[Overaall Reached]]-Table14[[#This Row],[Male]]</f>
        <v>26118.04</v>
      </c>
      <c r="S9" s="230">
        <f>Table11[[#This Row],[Overaall Reached]]*0.07</f>
        <v>3515.8900000000003</v>
      </c>
    </row>
    <row r="10" spans="1:19" x14ac:dyDescent="0.25">
      <c r="A10" s="231" t="s">
        <v>6</v>
      </c>
      <c r="B10" s="232" t="s">
        <v>88</v>
      </c>
      <c r="C10" s="232">
        <v>92141</v>
      </c>
      <c r="D10" s="232">
        <v>189167</v>
      </c>
      <c r="E10" s="232">
        <v>367900</v>
      </c>
      <c r="F10" s="232">
        <v>191923</v>
      </c>
      <c r="G10" s="232">
        <v>191936</v>
      </c>
      <c r="H10" s="232"/>
      <c r="I10" s="232"/>
      <c r="J10" s="232"/>
      <c r="K10" s="232"/>
      <c r="L10" s="232"/>
      <c r="M10" s="232"/>
      <c r="N10" s="230">
        <f>Table11[[#This Row],[Jun]]</f>
        <v>191936</v>
      </c>
      <c r="O10" s="230">
        <v>191936</v>
      </c>
      <c r="Q10" s="230">
        <f>Table11[[#This Row],[Overaall Reached]]*0.48</f>
        <v>92129.279999999999</v>
      </c>
      <c r="R10" s="230">
        <f>Table11[[#This Row],[Overaall Reached]]-Table14[[#This Row],[Male]]</f>
        <v>99806.720000000001</v>
      </c>
      <c r="S10" s="230">
        <f>Table11[[#This Row],[Overaall Reached]]*0.07</f>
        <v>13435.52</v>
      </c>
    </row>
    <row r="11" spans="1:19" x14ac:dyDescent="0.25">
      <c r="A11" s="231" t="s">
        <v>6</v>
      </c>
      <c r="B11" s="232" t="s">
        <v>12</v>
      </c>
      <c r="C11" s="232"/>
      <c r="D11" s="232"/>
      <c r="E11" s="232">
        <v>7991</v>
      </c>
      <c r="F11" s="232"/>
      <c r="G11" s="232">
        <v>7991</v>
      </c>
      <c r="H11" s="232"/>
      <c r="I11" s="232">
        <v>15501</v>
      </c>
      <c r="J11" s="232"/>
      <c r="K11" s="232"/>
      <c r="L11" s="232"/>
      <c r="M11" s="232"/>
      <c r="N11" s="230">
        <f>MAX(Table11[[#This Row],[Feb]:[Dec]])</f>
        <v>15501</v>
      </c>
      <c r="O11" s="230">
        <v>15501</v>
      </c>
      <c r="Q11" s="230">
        <f>Table11[[#This Row],[Overaall Reached]]*0.48</f>
        <v>7440.48</v>
      </c>
      <c r="R11" s="230">
        <f>Table11[[#This Row],[Overaall Reached]]-Table14[[#This Row],[Male]]</f>
        <v>8060.52</v>
      </c>
      <c r="S11" s="230">
        <f>Table11[[#This Row],[Overaall Reached]]*0.07</f>
        <v>1085.0700000000002</v>
      </c>
    </row>
    <row r="12" spans="1:19" x14ac:dyDescent="0.25">
      <c r="A12" s="231" t="s">
        <v>6</v>
      </c>
      <c r="B12" s="232" t="s">
        <v>10</v>
      </c>
      <c r="C12" s="232">
        <v>36042</v>
      </c>
      <c r="D12" s="232">
        <v>35913</v>
      </c>
      <c r="E12" s="232">
        <v>37617</v>
      </c>
      <c r="F12" s="232"/>
      <c r="G12" s="232"/>
      <c r="H12" s="232"/>
      <c r="I12" s="232"/>
      <c r="J12" s="232"/>
      <c r="K12" s="232"/>
      <c r="L12" s="232"/>
      <c r="M12" s="232"/>
      <c r="N12" s="230">
        <f>MAX(Table11[[#This Row],[Feb]:[Dec]])</f>
        <v>37617</v>
      </c>
      <c r="O12" s="230">
        <v>37617</v>
      </c>
      <c r="Q12" s="230">
        <f>Table11[[#This Row],[Overaall Reached]]*0.48</f>
        <v>18056.16</v>
      </c>
      <c r="R12" s="230">
        <f>Table11[[#This Row],[Overaall Reached]]-Table14[[#This Row],[Male]]</f>
        <v>19560.84</v>
      </c>
      <c r="S12" s="230">
        <f>Table11[[#This Row],[Overaall Reached]]*0.07</f>
        <v>2633.19</v>
      </c>
    </row>
    <row r="13" spans="1:19" x14ac:dyDescent="0.25">
      <c r="A13" s="231" t="s">
        <v>6</v>
      </c>
      <c r="B13" s="232" t="s">
        <v>11</v>
      </c>
      <c r="C13" s="232">
        <v>41261</v>
      </c>
      <c r="D13" s="232">
        <v>9229</v>
      </c>
      <c r="E13" s="232">
        <v>42332</v>
      </c>
      <c r="F13" s="232"/>
      <c r="G13" s="232"/>
      <c r="H13" s="232"/>
      <c r="I13" s="232"/>
      <c r="J13" s="232"/>
      <c r="K13" s="232"/>
      <c r="L13" s="232"/>
      <c r="M13" s="232"/>
      <c r="N13" s="230">
        <f>MAX(Table11[[#This Row],[Feb]:[Dec]])</f>
        <v>42332</v>
      </c>
      <c r="O13" s="230">
        <v>42332</v>
      </c>
      <c r="Q13" s="230">
        <f>Table11[[#This Row],[Overaall Reached]]*0.48</f>
        <v>20319.36</v>
      </c>
      <c r="R13" s="230">
        <f>Table11[[#This Row],[Overaall Reached]]-Table14[[#This Row],[Male]]</f>
        <v>22012.639999999999</v>
      </c>
      <c r="S13" s="230">
        <f>Table11[[#This Row],[Overaall Reached]]*0.07</f>
        <v>2963.2400000000002</v>
      </c>
    </row>
    <row r="14" spans="1:19" x14ac:dyDescent="0.25">
      <c r="A14" s="231" t="s">
        <v>6</v>
      </c>
      <c r="B14" s="232" t="s">
        <v>13</v>
      </c>
      <c r="C14" s="232">
        <v>2003</v>
      </c>
      <c r="D14" s="232">
        <v>2003</v>
      </c>
      <c r="E14" s="232">
        <v>1949</v>
      </c>
      <c r="F14" s="232">
        <v>2000</v>
      </c>
      <c r="G14" s="232">
        <v>4000</v>
      </c>
      <c r="H14" s="232">
        <v>1685</v>
      </c>
      <c r="I14" s="232">
        <v>1993</v>
      </c>
      <c r="J14" s="232"/>
      <c r="K14" s="232"/>
      <c r="L14" s="232"/>
      <c r="M14" s="232"/>
      <c r="N14" s="230">
        <f>MAX(Table11[[#This Row],[Feb]:[Dec]])</f>
        <v>4000</v>
      </c>
      <c r="O14" s="230">
        <v>4000</v>
      </c>
      <c r="Q14" s="230">
        <f>Table11[[#This Row],[Overaall Reached]]*0.48</f>
        <v>1920</v>
      </c>
      <c r="R14" s="230">
        <f>Table11[[#This Row],[Overaall Reached]]-Table14[[#This Row],[Male]]</f>
        <v>2080</v>
      </c>
      <c r="S14" s="230">
        <f>Table11[[#This Row],[Overaall Reached]]*0.07</f>
        <v>280</v>
      </c>
    </row>
    <row r="15" spans="1:19" x14ac:dyDescent="0.25">
      <c r="A15" s="231" t="s">
        <v>15</v>
      </c>
      <c r="B15" s="232" t="s">
        <v>90</v>
      </c>
      <c r="C15" s="232">
        <v>31528</v>
      </c>
      <c r="D15" s="232">
        <v>13016</v>
      </c>
      <c r="E15" s="232">
        <v>32541</v>
      </c>
      <c r="F15" s="232"/>
      <c r="G15" s="232"/>
      <c r="H15" s="232"/>
      <c r="I15" s="232"/>
      <c r="J15" s="232"/>
      <c r="K15" s="232"/>
      <c r="L15" s="232"/>
      <c r="M15" s="232"/>
      <c r="N15" s="230">
        <f>MAX(Table11[[#This Row],[Feb]:[Dec]])</f>
        <v>32541</v>
      </c>
      <c r="O15" s="230">
        <v>32541</v>
      </c>
      <c r="Q15" s="230">
        <f>Table11[[#This Row],[Overaall Reached]]*0.48</f>
        <v>15619.68</v>
      </c>
      <c r="R15" s="230">
        <f>Table11[[#This Row],[Overaall Reached]]-Table14[[#This Row],[Male]]</f>
        <v>16921.32</v>
      </c>
      <c r="S15" s="230">
        <f>Table11[[#This Row],[Overaall Reached]]*0.07</f>
        <v>2277.8700000000003</v>
      </c>
    </row>
    <row r="16" spans="1:19" x14ac:dyDescent="0.25">
      <c r="A16" s="231" t="s">
        <v>15</v>
      </c>
      <c r="B16" s="232" t="s">
        <v>16</v>
      </c>
      <c r="C16" s="232">
        <v>67725</v>
      </c>
      <c r="D16" s="232">
        <v>67725</v>
      </c>
      <c r="E16" s="232">
        <v>69471</v>
      </c>
      <c r="F16" s="232">
        <v>78192</v>
      </c>
      <c r="G16" s="232"/>
      <c r="H16" s="232"/>
      <c r="I16" s="232"/>
      <c r="J16" s="232"/>
      <c r="K16" s="232"/>
      <c r="L16" s="232"/>
      <c r="M16" s="232"/>
      <c r="N16" s="230">
        <f>MAX(Table11[[#This Row],[Feb]:[Dec]])</f>
        <v>78192</v>
      </c>
      <c r="O16" s="230">
        <v>78192</v>
      </c>
      <c r="Q16" s="230">
        <f>Table11[[#This Row],[Overaall Reached]]*0.48</f>
        <v>37532.159999999996</v>
      </c>
      <c r="R16" s="230">
        <f>Table11[[#This Row],[Overaall Reached]]-Table14[[#This Row],[Male]]</f>
        <v>40659.840000000004</v>
      </c>
      <c r="S16" s="230">
        <f>Table11[[#This Row],[Overaall Reached]]*0.07</f>
        <v>5473.4400000000005</v>
      </c>
    </row>
    <row r="17" spans="1:19" x14ac:dyDescent="0.25">
      <c r="A17" s="231" t="s">
        <v>15</v>
      </c>
      <c r="B17" s="232" t="s">
        <v>17</v>
      </c>
      <c r="C17" s="232">
        <v>23043</v>
      </c>
      <c r="D17" s="232"/>
      <c r="E17" s="232">
        <v>23007</v>
      </c>
      <c r="F17" s="232"/>
      <c r="G17" s="232"/>
      <c r="H17" s="232"/>
      <c r="I17" s="232"/>
      <c r="J17" s="232"/>
      <c r="K17" s="232"/>
      <c r="L17" s="232"/>
      <c r="M17" s="232"/>
      <c r="N17" s="230">
        <f>MAX(Table11[[#This Row],[Feb]:[Dec]])</f>
        <v>23043</v>
      </c>
      <c r="O17" s="230">
        <v>23043</v>
      </c>
      <c r="Q17" s="230">
        <f>Table11[[#This Row],[Overaall Reached]]*0.48</f>
        <v>11060.64</v>
      </c>
      <c r="R17" s="230">
        <f>Table11[[#This Row],[Overaall Reached]]-Table14[[#This Row],[Male]]</f>
        <v>11982.36</v>
      </c>
      <c r="S17" s="230">
        <f>Table11[[#This Row],[Overaall Reached]]*0.07</f>
        <v>1613.0100000000002</v>
      </c>
    </row>
    <row r="18" spans="1:19" x14ac:dyDescent="0.25">
      <c r="A18" s="231" t="s">
        <v>15</v>
      </c>
      <c r="B18" s="232" t="s">
        <v>18</v>
      </c>
      <c r="C18" s="232">
        <v>60019</v>
      </c>
      <c r="D18" s="232"/>
      <c r="E18" s="232">
        <v>63537</v>
      </c>
      <c r="F18" s="232"/>
      <c r="G18" s="232"/>
      <c r="H18" s="232"/>
      <c r="I18" s="232"/>
      <c r="J18" s="232"/>
      <c r="K18" s="232"/>
      <c r="L18" s="232"/>
      <c r="M18" s="232"/>
      <c r="N18" s="230">
        <f>MAX(Table11[[#This Row],[Feb]:[Dec]])</f>
        <v>63537</v>
      </c>
      <c r="O18" s="230">
        <v>63537</v>
      </c>
      <c r="Q18" s="230">
        <f>Table11[[#This Row],[Overaall Reached]]*0.48</f>
        <v>30497.759999999998</v>
      </c>
      <c r="R18" s="230">
        <f>Table11[[#This Row],[Overaall Reached]]-Table14[[#This Row],[Male]]</f>
        <v>33039.240000000005</v>
      </c>
      <c r="S18" s="230">
        <f>Table11[[#This Row],[Overaall Reached]]*0.07</f>
        <v>4447.59</v>
      </c>
    </row>
    <row r="19" spans="1:19" x14ac:dyDescent="0.25">
      <c r="A19" s="231" t="s">
        <v>15</v>
      </c>
      <c r="B19" s="232" t="s">
        <v>22</v>
      </c>
      <c r="C19" s="232">
        <v>42796.4</v>
      </c>
      <c r="D19" s="232">
        <v>61199</v>
      </c>
      <c r="E19" s="232">
        <v>33767</v>
      </c>
      <c r="F19" s="232">
        <v>36643</v>
      </c>
      <c r="G19" s="232">
        <v>36663</v>
      </c>
      <c r="H19" s="232">
        <v>23903</v>
      </c>
      <c r="I19" s="232">
        <v>24407</v>
      </c>
      <c r="J19" s="232"/>
      <c r="K19" s="232"/>
      <c r="L19" s="232"/>
      <c r="M19" s="232"/>
      <c r="N19" s="230">
        <f>MAX(Table11[[#This Row],[Feb]:[Dec]])</f>
        <v>61199</v>
      </c>
      <c r="O19" s="230">
        <v>61199</v>
      </c>
      <c r="Q19" s="230">
        <f>Table11[[#This Row],[Overaall Reached]]*0.48</f>
        <v>29375.52</v>
      </c>
      <c r="R19" s="230">
        <f>Table11[[#This Row],[Overaall Reached]]-Table14[[#This Row],[Male]]</f>
        <v>31823.48</v>
      </c>
      <c r="S19" s="230">
        <f>Table11[[#This Row],[Overaall Reached]]*0.07</f>
        <v>4283.93</v>
      </c>
    </row>
    <row r="20" spans="1:19" x14ac:dyDescent="0.25">
      <c r="A20" s="231" t="s">
        <v>15</v>
      </c>
      <c r="B20" s="232" t="s">
        <v>19</v>
      </c>
      <c r="C20" s="232">
        <v>184535</v>
      </c>
      <c r="D20" s="232">
        <v>99167</v>
      </c>
      <c r="E20" s="232">
        <v>123680</v>
      </c>
      <c r="F20" s="232">
        <v>93148</v>
      </c>
      <c r="G20" s="232"/>
      <c r="H20" s="232">
        <v>4597</v>
      </c>
      <c r="I20" s="232">
        <v>4637</v>
      </c>
      <c r="J20" s="232"/>
      <c r="K20" s="232"/>
      <c r="L20" s="232"/>
      <c r="M20" s="232"/>
      <c r="N20" s="230">
        <f>Table11[[#This Row],[Feb]]</f>
        <v>184535</v>
      </c>
      <c r="O20" s="230">
        <v>123680</v>
      </c>
      <c r="Q20" s="230">
        <f>Table11[[#This Row],[Overaall Reached]]*0.48</f>
        <v>59366.399999999994</v>
      </c>
      <c r="R20" s="230">
        <f>Table11[[#This Row],[Overaall Reached]]-Table14[[#This Row],[Male]]</f>
        <v>64313.600000000006</v>
      </c>
      <c r="S20" s="230">
        <f>Table11[[#This Row],[Overaall Reached]]*0.07</f>
        <v>8657.6</v>
      </c>
    </row>
    <row r="21" spans="1:19" x14ac:dyDescent="0.25">
      <c r="A21" s="231" t="s">
        <v>15</v>
      </c>
      <c r="B21" s="232" t="s">
        <v>20</v>
      </c>
      <c r="C21" s="232">
        <v>44590</v>
      </c>
      <c r="D21" s="232"/>
      <c r="E21" s="232">
        <v>31305</v>
      </c>
      <c r="F21" s="232">
        <v>51083</v>
      </c>
      <c r="G21" s="232"/>
      <c r="H21" s="232">
        <v>19280</v>
      </c>
      <c r="I21" s="232">
        <v>34222</v>
      </c>
      <c r="J21" s="232"/>
      <c r="K21" s="232"/>
      <c r="L21" s="232"/>
      <c r="M21" s="232"/>
      <c r="N21" s="230">
        <f>MAX(Table11[[#This Row],[Feb]:[Dec]])</f>
        <v>51083</v>
      </c>
      <c r="O21" s="230">
        <v>51083</v>
      </c>
      <c r="Q21" s="230">
        <f>Table11[[#This Row],[Overaall Reached]]*0.48</f>
        <v>24519.84</v>
      </c>
      <c r="R21" s="230">
        <f>Table11[[#This Row],[Overaall Reached]]-Table14[[#This Row],[Male]]</f>
        <v>26563.16</v>
      </c>
      <c r="S21" s="230">
        <f>Table11[[#This Row],[Overaall Reached]]*0.07</f>
        <v>3575.8100000000004</v>
      </c>
    </row>
    <row r="22" spans="1:19" x14ac:dyDescent="0.25">
      <c r="A22" s="231" t="s">
        <v>15</v>
      </c>
      <c r="B22" s="232" t="s">
        <v>21</v>
      </c>
      <c r="C22" s="232">
        <v>45741</v>
      </c>
      <c r="D22" s="232">
        <v>1359</v>
      </c>
      <c r="E22" s="232">
        <v>41880</v>
      </c>
      <c r="F22" s="232">
        <v>7300</v>
      </c>
      <c r="G22" s="232"/>
      <c r="H22" s="232"/>
      <c r="I22" s="232"/>
      <c r="J22" s="232"/>
      <c r="K22" s="232"/>
      <c r="L22" s="232"/>
      <c r="M22" s="232"/>
      <c r="N22" s="230">
        <f>MAX(Table11[[#This Row],[Feb]:[Dec]])</f>
        <v>45741</v>
      </c>
      <c r="O22" s="230">
        <v>45741</v>
      </c>
      <c r="Q22" s="230">
        <f>Table11[[#This Row],[Overaall Reached]]*0.48</f>
        <v>21955.68</v>
      </c>
      <c r="R22" s="230">
        <f>Table11[[#This Row],[Overaall Reached]]-Table14[[#This Row],[Male]]</f>
        <v>23785.32</v>
      </c>
      <c r="S22" s="230">
        <f>Table11[[#This Row],[Overaall Reached]]*0.07</f>
        <v>3201.8700000000003</v>
      </c>
    </row>
    <row r="23" spans="1:19" x14ac:dyDescent="0.25">
      <c r="A23" s="231" t="s">
        <v>25</v>
      </c>
      <c r="B23" s="232" t="s">
        <v>26</v>
      </c>
      <c r="C23" s="232">
        <v>21966</v>
      </c>
      <c r="D23" s="232">
        <v>21085</v>
      </c>
      <c r="E23" s="232">
        <v>23662</v>
      </c>
      <c r="F23" s="232">
        <v>24493</v>
      </c>
      <c r="G23" s="232">
        <v>24778</v>
      </c>
      <c r="H23" s="232">
        <v>23523</v>
      </c>
      <c r="I23" s="232">
        <v>23822</v>
      </c>
      <c r="J23" s="232"/>
      <c r="K23" s="232"/>
      <c r="L23" s="232"/>
      <c r="M23" s="232"/>
      <c r="N23" s="230">
        <f>MAX(Table11[[#This Row],[Feb]:[Dec]])</f>
        <v>24778</v>
      </c>
      <c r="O23" s="230">
        <v>24778</v>
      </c>
      <c r="Q23" s="230">
        <f>Table11[[#This Row],[Overaall Reached]]*0.48</f>
        <v>11893.439999999999</v>
      </c>
      <c r="R23" s="230">
        <f>Table11[[#This Row],[Overaall Reached]]-Table14[[#This Row],[Male]]</f>
        <v>12884.560000000001</v>
      </c>
      <c r="S23" s="230">
        <f>Table11[[#This Row],[Overaall Reached]]*0.07</f>
        <v>1734.4600000000003</v>
      </c>
    </row>
    <row r="24" spans="1:19" x14ac:dyDescent="0.25">
      <c r="A24" s="231" t="s">
        <v>25</v>
      </c>
      <c r="B24" s="232" t="s">
        <v>27</v>
      </c>
      <c r="C24" s="232">
        <v>57487</v>
      </c>
      <c r="D24" s="232">
        <v>58057</v>
      </c>
      <c r="E24" s="232">
        <v>58210</v>
      </c>
      <c r="F24" s="232"/>
      <c r="G24" s="232"/>
      <c r="H24" s="232"/>
      <c r="I24" s="232"/>
      <c r="J24" s="232"/>
      <c r="K24" s="232"/>
      <c r="L24" s="232"/>
      <c r="M24" s="232"/>
      <c r="N24" s="230">
        <f>MAX(Table11[[#This Row],[Feb]:[Dec]])</f>
        <v>58210</v>
      </c>
      <c r="O24" s="230">
        <v>58210</v>
      </c>
      <c r="Q24" s="230">
        <f>Table11[[#This Row],[Overaall Reached]]*0.48</f>
        <v>27940.799999999999</v>
      </c>
      <c r="R24" s="230">
        <f>Table11[[#This Row],[Overaall Reached]]-Table14[[#This Row],[Male]]</f>
        <v>30269.200000000001</v>
      </c>
      <c r="S24" s="230">
        <f>Table11[[#This Row],[Overaall Reached]]*0.07</f>
        <v>4074.7000000000003</v>
      </c>
    </row>
    <row r="25" spans="1:19" x14ac:dyDescent="0.25">
      <c r="A25" s="231" t="s">
        <v>25</v>
      </c>
      <c r="B25" s="232" t="s">
        <v>28</v>
      </c>
      <c r="C25" s="232">
        <v>13713</v>
      </c>
      <c r="D25" s="232"/>
      <c r="E25" s="232">
        <v>22600</v>
      </c>
      <c r="F25" s="232"/>
      <c r="G25" s="232"/>
      <c r="H25" s="232"/>
      <c r="I25" s="232"/>
      <c r="J25" s="232"/>
      <c r="K25" s="232"/>
      <c r="L25" s="232"/>
      <c r="M25" s="232"/>
      <c r="N25" s="230">
        <f>MAX(Table11[[#This Row],[Feb]:[Dec]])</f>
        <v>22600</v>
      </c>
      <c r="O25" s="230">
        <v>22600</v>
      </c>
      <c r="Q25" s="230">
        <f>Table11[[#This Row],[Overaall Reached]]*0.48</f>
        <v>10848</v>
      </c>
      <c r="R25" s="230">
        <f>Table11[[#This Row],[Overaall Reached]]-Table14[[#This Row],[Male]]</f>
        <v>11752</v>
      </c>
      <c r="S25" s="230">
        <f>Table11[[#This Row],[Overaall Reached]]*0.07</f>
        <v>1582.0000000000002</v>
      </c>
    </row>
    <row r="26" spans="1:19" x14ac:dyDescent="0.25">
      <c r="A26" s="231" t="s">
        <v>25</v>
      </c>
      <c r="B26" s="232" t="s">
        <v>102</v>
      </c>
      <c r="C26" s="232">
        <v>26079</v>
      </c>
      <c r="D26" s="232"/>
      <c r="E26" s="232">
        <v>27498</v>
      </c>
      <c r="F26" s="232"/>
      <c r="G26" s="232">
        <v>3006</v>
      </c>
      <c r="H26" s="232"/>
      <c r="I26" s="232">
        <v>3006</v>
      </c>
      <c r="J26" s="232"/>
      <c r="K26" s="232"/>
      <c r="L26" s="232"/>
      <c r="M26" s="232"/>
      <c r="N26" s="230">
        <f>MAX(Table11[[#This Row],[Feb]:[Dec]])</f>
        <v>27498</v>
      </c>
      <c r="O26" s="230">
        <v>27498</v>
      </c>
      <c r="Q26" s="230">
        <f>Table11[[#This Row],[Overaall Reached]]*0.48</f>
        <v>13199.039999999999</v>
      </c>
      <c r="R26" s="230">
        <f>Table11[[#This Row],[Overaall Reached]]-Table14[[#This Row],[Male]]</f>
        <v>14298.960000000001</v>
      </c>
      <c r="S26" s="230">
        <f>Table11[[#This Row],[Overaall Reached]]*0.07</f>
        <v>1924.8600000000001</v>
      </c>
    </row>
    <row r="27" spans="1:19" x14ac:dyDescent="0.25">
      <c r="A27" s="231" t="s">
        <v>25</v>
      </c>
      <c r="B27" s="232" t="s">
        <v>33</v>
      </c>
      <c r="C27" s="232">
        <v>11066</v>
      </c>
      <c r="D27" s="232">
        <v>9962</v>
      </c>
      <c r="E27" s="232">
        <v>29494</v>
      </c>
      <c r="F27" s="232">
        <v>14620</v>
      </c>
      <c r="G27" s="232">
        <v>15000</v>
      </c>
      <c r="H27" s="232"/>
      <c r="I27" s="232">
        <v>10597</v>
      </c>
      <c r="J27" s="232"/>
      <c r="K27" s="232"/>
      <c r="L27" s="232"/>
      <c r="M27" s="232"/>
      <c r="N27" s="230">
        <f>MAX(Table11[[#This Row],[Feb]:[Dec]])</f>
        <v>29494</v>
      </c>
      <c r="O27" s="230">
        <v>29494</v>
      </c>
      <c r="Q27" s="230">
        <f>Table11[[#This Row],[Overaall Reached]]*0.48</f>
        <v>14157.119999999999</v>
      </c>
      <c r="R27" s="230">
        <f>Table11[[#This Row],[Overaall Reached]]-Table14[[#This Row],[Male]]</f>
        <v>15336.880000000001</v>
      </c>
      <c r="S27" s="230">
        <f>Table11[[#This Row],[Overaall Reached]]*0.07</f>
        <v>2064.5800000000004</v>
      </c>
    </row>
    <row r="28" spans="1:19" x14ac:dyDescent="0.25">
      <c r="A28" s="231" t="s">
        <v>25</v>
      </c>
      <c r="B28" s="232" t="s">
        <v>29</v>
      </c>
      <c r="C28" s="232">
        <v>51422</v>
      </c>
      <c r="D28" s="232">
        <v>51422</v>
      </c>
      <c r="E28" s="232">
        <v>112936</v>
      </c>
      <c r="F28" s="232">
        <v>54289</v>
      </c>
      <c r="G28" s="232">
        <v>58981</v>
      </c>
      <c r="H28" s="232">
        <v>33656</v>
      </c>
      <c r="I28" s="232">
        <v>36317</v>
      </c>
      <c r="J28" s="232"/>
      <c r="K28" s="232"/>
      <c r="L28" s="232"/>
      <c r="M28" s="232"/>
      <c r="N28" s="230">
        <f>MAX(Table11[[#This Row],[Feb]:[Dec]])</f>
        <v>112936</v>
      </c>
      <c r="O28" s="230">
        <v>58981</v>
      </c>
      <c r="Q28" s="230">
        <f>Table11[[#This Row],[Overaall Reached]]*0.48</f>
        <v>28310.879999999997</v>
      </c>
      <c r="R28" s="230">
        <f>Table11[[#This Row],[Overaall Reached]]-Table14[[#This Row],[Male]]</f>
        <v>30670.120000000003</v>
      </c>
      <c r="S28" s="230">
        <f>Table11[[#This Row],[Overaall Reached]]*0.07</f>
        <v>4128.67</v>
      </c>
    </row>
    <row r="29" spans="1:19" x14ac:dyDescent="0.25">
      <c r="A29" s="231" t="s">
        <v>25</v>
      </c>
      <c r="B29" s="232" t="s">
        <v>30</v>
      </c>
      <c r="C29" s="232">
        <v>37080</v>
      </c>
      <c r="D29" s="232"/>
      <c r="E29" s="232">
        <v>52972</v>
      </c>
      <c r="F29" s="232"/>
      <c r="G29" s="232"/>
      <c r="H29" s="232"/>
      <c r="I29" s="232"/>
      <c r="J29" s="232"/>
      <c r="K29" s="232"/>
      <c r="L29" s="232"/>
      <c r="M29" s="232"/>
      <c r="N29" s="230">
        <f>MAX(Table11[[#This Row],[Feb]:[Dec]])</f>
        <v>52972</v>
      </c>
      <c r="O29" s="230">
        <v>52972</v>
      </c>
      <c r="Q29" s="230">
        <f>Table11[[#This Row],[Overaall Reached]]*0.48</f>
        <v>25426.559999999998</v>
      </c>
      <c r="R29" s="230">
        <f>Table11[[#This Row],[Overaall Reached]]-Table14[[#This Row],[Male]]</f>
        <v>27545.440000000002</v>
      </c>
      <c r="S29" s="230">
        <f>Table11[[#This Row],[Overaall Reached]]*0.07</f>
        <v>3708.0400000000004</v>
      </c>
    </row>
    <row r="30" spans="1:19" x14ac:dyDescent="0.25">
      <c r="A30" s="231" t="s">
        <v>25</v>
      </c>
      <c r="B30" s="232" t="s">
        <v>31</v>
      </c>
      <c r="C30" s="232">
        <v>26954</v>
      </c>
      <c r="D30" s="232"/>
      <c r="E30" s="232">
        <v>27135</v>
      </c>
      <c r="F30" s="232"/>
      <c r="G30" s="232">
        <v>1071</v>
      </c>
      <c r="H30" s="232"/>
      <c r="I30" s="232"/>
      <c r="J30" s="232"/>
      <c r="K30" s="232"/>
      <c r="L30" s="232"/>
      <c r="M30" s="232"/>
      <c r="N30" s="230">
        <f>MAX(Table11[[#This Row],[Feb]:[Dec]])</f>
        <v>27135</v>
      </c>
      <c r="O30" s="230">
        <v>27135</v>
      </c>
      <c r="Q30" s="230">
        <f>Table11[[#This Row],[Overaall Reached]]*0.48</f>
        <v>13024.8</v>
      </c>
      <c r="R30" s="230">
        <f>Table11[[#This Row],[Overaall Reached]]-Table14[[#This Row],[Male]]</f>
        <v>14110.2</v>
      </c>
      <c r="S30" s="230">
        <f>Table11[[#This Row],[Overaall Reached]]*0.07</f>
        <v>1899.4500000000003</v>
      </c>
    </row>
    <row r="31" spans="1:19" x14ac:dyDescent="0.25">
      <c r="A31" s="231" t="s">
        <v>25</v>
      </c>
      <c r="B31" s="232" t="s">
        <v>32</v>
      </c>
      <c r="C31" s="232">
        <v>18661</v>
      </c>
      <c r="D31" s="232">
        <v>18717</v>
      </c>
      <c r="E31" s="232">
        <v>18611</v>
      </c>
      <c r="F31" s="232">
        <v>8400</v>
      </c>
      <c r="G31" s="232"/>
      <c r="H31" s="232"/>
      <c r="I31" s="232">
        <v>1010</v>
      </c>
      <c r="J31" s="232"/>
      <c r="K31" s="232"/>
      <c r="L31" s="232"/>
      <c r="M31" s="232"/>
      <c r="N31" s="230">
        <f>MAX(Table11[[#This Row],[Feb]:[Dec]])</f>
        <v>18717</v>
      </c>
      <c r="O31" s="230">
        <v>18717</v>
      </c>
      <c r="Q31" s="230">
        <f>Table11[[#This Row],[Overaall Reached]]*0.48</f>
        <v>8984.16</v>
      </c>
      <c r="R31" s="230">
        <f>Table11[[#This Row],[Overaall Reached]]-Table14[[#This Row],[Male]]</f>
        <v>9732.84</v>
      </c>
      <c r="S31" s="230">
        <f>Table11[[#This Row],[Overaall Reached]]*0.07</f>
        <v>1310.19</v>
      </c>
    </row>
    <row r="32" spans="1:19" x14ac:dyDescent="0.25">
      <c r="A32" s="231" t="s">
        <v>25</v>
      </c>
      <c r="B32" s="232" t="s">
        <v>101</v>
      </c>
      <c r="C32" s="232">
        <v>77429</v>
      </c>
      <c r="D32" s="232"/>
      <c r="E32" s="232">
        <v>77480</v>
      </c>
      <c r="F32" s="232">
        <v>46434</v>
      </c>
      <c r="G32" s="232">
        <v>46620</v>
      </c>
      <c r="H32" s="232">
        <v>17527</v>
      </c>
      <c r="I32" s="232">
        <v>17650</v>
      </c>
      <c r="J32" s="232"/>
      <c r="K32" s="232"/>
      <c r="L32" s="232"/>
      <c r="M32" s="232"/>
      <c r="N32" s="230">
        <f>MAX(Table11[[#This Row],[Feb]:[Dec]])</f>
        <v>77480</v>
      </c>
      <c r="O32" s="230">
        <v>77480</v>
      </c>
      <c r="Q32" s="230">
        <f>Table11[[#This Row],[Overaall Reached]]*0.48</f>
        <v>37190.400000000001</v>
      </c>
      <c r="R32" s="230">
        <f>Table11[[#This Row],[Overaall Reached]]-Table14[[#This Row],[Male]]</f>
        <v>40289.599999999999</v>
      </c>
      <c r="S32" s="230">
        <f>Table11[[#This Row],[Overaall Reached]]*0.07</f>
        <v>5423.6</v>
      </c>
    </row>
    <row r="33" spans="1:19" x14ac:dyDescent="0.25">
      <c r="A33" s="231" t="s">
        <v>35</v>
      </c>
      <c r="B33" s="232" t="s">
        <v>99</v>
      </c>
      <c r="C33" s="232">
        <v>76324</v>
      </c>
      <c r="D33" s="232"/>
      <c r="E33" s="232">
        <v>76554</v>
      </c>
      <c r="F33" s="232"/>
      <c r="G33" s="232"/>
      <c r="H33" s="232"/>
      <c r="I33" s="232"/>
      <c r="J33" s="232"/>
      <c r="K33" s="232"/>
      <c r="L33" s="232"/>
      <c r="M33" s="232"/>
      <c r="N33" s="230">
        <f>MAX(Table11[[#This Row],[Feb]:[Dec]])</f>
        <v>76554</v>
      </c>
      <c r="O33" s="230">
        <v>76554</v>
      </c>
      <c r="Q33" s="230">
        <f>Table11[[#This Row],[Overaall Reached]]*0.48</f>
        <v>36745.919999999998</v>
      </c>
      <c r="R33" s="230">
        <f>Table11[[#This Row],[Overaall Reached]]-Table14[[#This Row],[Male]]</f>
        <v>39808.080000000002</v>
      </c>
      <c r="S33" s="230">
        <f>Table11[[#This Row],[Overaall Reached]]*0.07</f>
        <v>5358.7800000000007</v>
      </c>
    </row>
    <row r="34" spans="1:19" x14ac:dyDescent="0.25">
      <c r="A34" s="231" t="s">
        <v>35</v>
      </c>
      <c r="B34" s="232" t="s">
        <v>36</v>
      </c>
      <c r="C34" s="232">
        <v>95580</v>
      </c>
      <c r="D34" s="232">
        <v>87491</v>
      </c>
      <c r="E34" s="232">
        <v>87391</v>
      </c>
      <c r="F34" s="232"/>
      <c r="G34" s="232"/>
      <c r="H34" s="232"/>
      <c r="I34" s="232"/>
      <c r="J34" s="232"/>
      <c r="K34" s="232"/>
      <c r="L34" s="232"/>
      <c r="M34" s="232"/>
      <c r="N34" s="230">
        <f>MAX(Table11[[#This Row],[Feb]:[Dec]])</f>
        <v>95580</v>
      </c>
      <c r="O34" s="230">
        <v>87391</v>
      </c>
      <c r="Q34" s="230">
        <f>Table11[[#This Row],[Overaall Reached]]*0.48</f>
        <v>41947.68</v>
      </c>
      <c r="R34" s="230">
        <f>Table11[[#This Row],[Overaall Reached]]-Table14[[#This Row],[Male]]</f>
        <v>45443.32</v>
      </c>
      <c r="S34" s="230">
        <f>Table11[[#This Row],[Overaall Reached]]*0.07</f>
        <v>6117.3700000000008</v>
      </c>
    </row>
    <row r="35" spans="1:19" x14ac:dyDescent="0.25">
      <c r="A35" s="231" t="s">
        <v>35</v>
      </c>
      <c r="B35" s="232" t="s">
        <v>100</v>
      </c>
      <c r="C35" s="232">
        <v>18227</v>
      </c>
      <c r="D35" s="232">
        <v>36670</v>
      </c>
      <c r="E35" s="232">
        <v>18443</v>
      </c>
      <c r="F35" s="232">
        <v>17297</v>
      </c>
      <c r="G35" s="232">
        <v>18374</v>
      </c>
      <c r="H35" s="232">
        <v>12092</v>
      </c>
      <c r="I35" s="232">
        <v>13036</v>
      </c>
      <c r="J35" s="232"/>
      <c r="K35" s="232"/>
      <c r="L35" s="232"/>
      <c r="M35" s="232"/>
      <c r="N35" s="230">
        <f>MAX(Table11[[#This Row],[Feb]:[Dec]])</f>
        <v>36670</v>
      </c>
      <c r="O35" s="230">
        <v>36670</v>
      </c>
      <c r="Q35" s="230">
        <f>Table11[[#This Row],[Overaall Reached]]*0.48</f>
        <v>17601.599999999999</v>
      </c>
      <c r="R35" s="230">
        <f>Table11[[#This Row],[Overaall Reached]]-Table14[[#This Row],[Male]]</f>
        <v>19068.400000000001</v>
      </c>
      <c r="S35" s="230">
        <f>Table11[[#This Row],[Overaall Reached]]*0.07</f>
        <v>2566.9</v>
      </c>
    </row>
    <row r="36" spans="1:19" x14ac:dyDescent="0.25">
      <c r="A36" s="231" t="s">
        <v>35</v>
      </c>
      <c r="B36" s="232" t="s">
        <v>38</v>
      </c>
      <c r="C36" s="232">
        <v>12315</v>
      </c>
      <c r="D36" s="232">
        <v>12315</v>
      </c>
      <c r="E36" s="232">
        <v>38138</v>
      </c>
      <c r="F36" s="232">
        <v>39932</v>
      </c>
      <c r="G36" s="232"/>
      <c r="H36" s="232"/>
      <c r="I36" s="232"/>
      <c r="J36" s="232"/>
      <c r="K36" s="232"/>
      <c r="L36" s="232"/>
      <c r="M36" s="232"/>
      <c r="N36" s="230">
        <f>MAX(Table11[[#This Row],[Feb]:[Dec]])</f>
        <v>39932</v>
      </c>
      <c r="O36" s="230">
        <v>39932</v>
      </c>
      <c r="Q36" s="230">
        <f>Table11[[#This Row],[Overaall Reached]]*0.48</f>
        <v>19167.36</v>
      </c>
      <c r="R36" s="230">
        <f>Table11[[#This Row],[Overaall Reached]]-Table14[[#This Row],[Male]]</f>
        <v>20764.64</v>
      </c>
      <c r="S36" s="230">
        <f>Table11[[#This Row],[Overaall Reached]]*0.07</f>
        <v>2795.2400000000002</v>
      </c>
    </row>
    <row r="37" spans="1:19" x14ac:dyDescent="0.25">
      <c r="A37" s="231" t="s">
        <v>35</v>
      </c>
      <c r="B37" s="232" t="s">
        <v>45</v>
      </c>
      <c r="C37" s="232">
        <v>29700</v>
      </c>
      <c r="D37" s="232">
        <v>49255</v>
      </c>
      <c r="E37" s="232">
        <v>49680</v>
      </c>
      <c r="F37" s="232"/>
      <c r="G37" s="232"/>
      <c r="H37" s="232"/>
      <c r="I37" s="232"/>
      <c r="J37" s="232"/>
      <c r="K37" s="232"/>
      <c r="L37" s="232"/>
      <c r="M37" s="232"/>
      <c r="N37" s="230">
        <f>MAX(Table11[[#This Row],[Feb]:[Dec]])</f>
        <v>49680</v>
      </c>
      <c r="O37" s="230">
        <v>49680</v>
      </c>
      <c r="Q37" s="230">
        <f>Table11[[#This Row],[Overaall Reached]]*0.48</f>
        <v>23846.399999999998</v>
      </c>
      <c r="R37" s="230">
        <f>Table11[[#This Row],[Overaall Reached]]-Table14[[#This Row],[Male]]</f>
        <v>25833.600000000002</v>
      </c>
      <c r="S37" s="230">
        <f>Table11[[#This Row],[Overaall Reached]]*0.07</f>
        <v>3477.6000000000004</v>
      </c>
    </row>
    <row r="38" spans="1:19" x14ac:dyDescent="0.25">
      <c r="A38" s="231" t="s">
        <v>35</v>
      </c>
      <c r="B38" s="232" t="s">
        <v>547</v>
      </c>
      <c r="C38" s="232"/>
      <c r="D38" s="232">
        <v>14322</v>
      </c>
      <c r="E38" s="232">
        <v>34789</v>
      </c>
      <c r="F38" s="232"/>
      <c r="G38" s="232">
        <v>19000</v>
      </c>
      <c r="H38" s="232"/>
      <c r="I38" s="232">
        <v>18124</v>
      </c>
      <c r="J38" s="232"/>
      <c r="K38" s="232"/>
      <c r="L38" s="232"/>
      <c r="M38" s="232"/>
      <c r="N38" s="230">
        <f>MAX(Table11[[#This Row],[Feb]:[Dec]])</f>
        <v>34789</v>
      </c>
      <c r="O38" s="230">
        <v>34789</v>
      </c>
      <c r="Q38" s="230">
        <f>Table11[[#This Row],[Overaall Reached]]*0.48</f>
        <v>16698.72</v>
      </c>
      <c r="R38" s="230">
        <f>Table11[[#This Row],[Overaall Reached]]-Table14[[#This Row],[Male]]</f>
        <v>18090.28</v>
      </c>
      <c r="S38" s="230">
        <f>Table11[[#This Row],[Overaall Reached]]*0.07</f>
        <v>2435.23</v>
      </c>
    </row>
    <row r="39" spans="1:19" x14ac:dyDescent="0.25">
      <c r="A39" s="231" t="s">
        <v>35</v>
      </c>
      <c r="B39" s="232" t="s">
        <v>46</v>
      </c>
      <c r="C39" s="232">
        <v>42858</v>
      </c>
      <c r="D39" s="232"/>
      <c r="E39" s="232">
        <v>30482</v>
      </c>
      <c r="F39" s="232"/>
      <c r="G39" s="232"/>
      <c r="H39" s="232"/>
      <c r="I39" s="232"/>
      <c r="J39" s="232"/>
      <c r="K39" s="232"/>
      <c r="L39" s="232"/>
      <c r="M39" s="232"/>
      <c r="N39" s="230">
        <f>MAX(Table11[[#This Row],[Feb]:[Dec]])</f>
        <v>42858</v>
      </c>
      <c r="O39" s="230">
        <v>42858</v>
      </c>
      <c r="Q39" s="230">
        <f>Table11[[#This Row],[Overaall Reached]]*0.48</f>
        <v>20571.84</v>
      </c>
      <c r="R39" s="230">
        <f>Table11[[#This Row],[Overaall Reached]]-Table14[[#This Row],[Male]]</f>
        <v>22286.16</v>
      </c>
      <c r="S39" s="230">
        <f>Table11[[#This Row],[Overaall Reached]]*0.07</f>
        <v>3000.0600000000004</v>
      </c>
    </row>
    <row r="40" spans="1:19" x14ac:dyDescent="0.25">
      <c r="A40" s="231" t="s">
        <v>35</v>
      </c>
      <c r="B40" s="232" t="s">
        <v>39</v>
      </c>
      <c r="C40" s="232">
        <v>23128.48</v>
      </c>
      <c r="D40" s="232"/>
      <c r="E40" s="232">
        <v>54879</v>
      </c>
      <c r="F40" s="232"/>
      <c r="G40" s="232"/>
      <c r="H40" s="232"/>
      <c r="I40" s="232"/>
      <c r="J40" s="232"/>
      <c r="K40" s="232"/>
      <c r="L40" s="232"/>
      <c r="M40" s="232"/>
      <c r="N40" s="230">
        <f>MAX(Table11[[#This Row],[Feb]:[Dec]])</f>
        <v>54879</v>
      </c>
      <c r="O40" s="230">
        <v>54879</v>
      </c>
      <c r="Q40" s="230">
        <f>Table11[[#This Row],[Overaall Reached]]*0.48</f>
        <v>26341.919999999998</v>
      </c>
      <c r="R40" s="230">
        <f>Table11[[#This Row],[Overaall Reached]]-Table14[[#This Row],[Male]]</f>
        <v>28537.08</v>
      </c>
      <c r="S40" s="230">
        <f>Table11[[#This Row],[Overaall Reached]]*0.07</f>
        <v>3841.53</v>
      </c>
    </row>
    <row r="41" spans="1:19" x14ac:dyDescent="0.25">
      <c r="A41" s="231" t="s">
        <v>76</v>
      </c>
      <c r="B41" s="232" t="s">
        <v>77</v>
      </c>
      <c r="C41" s="232">
        <v>23765</v>
      </c>
      <c r="D41" s="232">
        <v>25738</v>
      </c>
      <c r="E41" s="232">
        <v>49464</v>
      </c>
      <c r="F41" s="232">
        <v>123</v>
      </c>
      <c r="G41" s="232">
        <v>1135</v>
      </c>
      <c r="H41" s="232"/>
      <c r="I41" s="232">
        <v>51852</v>
      </c>
      <c r="J41" s="232"/>
      <c r="K41" s="232"/>
      <c r="L41" s="232"/>
      <c r="M41" s="232"/>
      <c r="N41" s="230">
        <f>MAX(Table11[[#This Row],[Feb]:[Dec]])</f>
        <v>51852</v>
      </c>
      <c r="O41" s="230">
        <v>51852</v>
      </c>
      <c r="Q41" s="230">
        <f>Table11[[#This Row],[Overaall Reached]]*0.48</f>
        <v>24888.959999999999</v>
      </c>
      <c r="R41" s="230">
        <f>Table11[[#This Row],[Overaall Reached]]-Table14[[#This Row],[Male]]</f>
        <v>26963.040000000001</v>
      </c>
      <c r="S41" s="230">
        <f>Table11[[#This Row],[Overaall Reached]]*0.07</f>
        <v>3629.6400000000003</v>
      </c>
    </row>
    <row r="42" spans="1:19" x14ac:dyDescent="0.25">
      <c r="A42" s="231" t="s">
        <v>76</v>
      </c>
      <c r="B42" s="232" t="s">
        <v>91</v>
      </c>
      <c r="C42" s="232">
        <v>81343</v>
      </c>
      <c r="D42" s="232">
        <v>47036</v>
      </c>
      <c r="E42" s="232">
        <v>13004</v>
      </c>
      <c r="F42" s="232">
        <v>142464</v>
      </c>
      <c r="G42" s="232">
        <v>82104</v>
      </c>
      <c r="H42" s="232">
        <v>80090</v>
      </c>
      <c r="I42" s="232">
        <v>84976</v>
      </c>
      <c r="J42" s="232"/>
      <c r="K42" s="232"/>
      <c r="L42" s="232"/>
      <c r="M42" s="232"/>
      <c r="N42" s="230">
        <f>Table11[[#This Row],[Aug]]</f>
        <v>84976</v>
      </c>
      <c r="O42" s="230">
        <v>84976</v>
      </c>
      <c r="Q42" s="230">
        <f>Table11[[#This Row],[Overaall Reached]]*0.48</f>
        <v>40788.479999999996</v>
      </c>
      <c r="R42" s="230">
        <f>Table11[[#This Row],[Overaall Reached]]-Table14[[#This Row],[Male]]</f>
        <v>44187.520000000004</v>
      </c>
      <c r="S42" s="230">
        <f>Table11[[#This Row],[Overaall Reached]]*0.07</f>
        <v>5948.3200000000006</v>
      </c>
    </row>
    <row r="43" spans="1:19" x14ac:dyDescent="0.25">
      <c r="A43" s="231" t="s">
        <v>76</v>
      </c>
      <c r="B43" s="232" t="s">
        <v>78</v>
      </c>
      <c r="C43" s="232">
        <v>56898</v>
      </c>
      <c r="D43" s="232">
        <v>59630</v>
      </c>
      <c r="E43" s="232">
        <v>58005</v>
      </c>
      <c r="F43" s="232">
        <v>73363</v>
      </c>
      <c r="G43" s="232">
        <v>6150</v>
      </c>
      <c r="H43" s="232">
        <v>12736</v>
      </c>
      <c r="I43" s="232">
        <v>46915</v>
      </c>
      <c r="J43" s="232"/>
      <c r="K43" s="232"/>
      <c r="L43" s="232"/>
      <c r="M43" s="232"/>
      <c r="N43" s="230">
        <f>Table11[[#This Row],[Aug]]</f>
        <v>46915</v>
      </c>
      <c r="O43" s="230">
        <v>58005</v>
      </c>
      <c r="Q43" s="230">
        <f>Table11[[#This Row],[Overaall Reached]]*0.48</f>
        <v>27842.399999999998</v>
      </c>
      <c r="R43" s="230">
        <f>Table11[[#This Row],[Overaall Reached]]-Table14[[#This Row],[Male]]</f>
        <v>30162.600000000002</v>
      </c>
      <c r="S43" s="230">
        <f>Table11[[#This Row],[Overaall Reached]]*0.07</f>
        <v>4060.3500000000004</v>
      </c>
    </row>
    <row r="44" spans="1:19" x14ac:dyDescent="0.25">
      <c r="A44" s="231" t="s">
        <v>76</v>
      </c>
      <c r="B44" s="232" t="s">
        <v>79</v>
      </c>
      <c r="C44" s="232">
        <v>41453</v>
      </c>
      <c r="D44" s="232">
        <v>41570</v>
      </c>
      <c r="E44" s="232">
        <v>42130</v>
      </c>
      <c r="F44" s="232"/>
      <c r="G44" s="232">
        <v>3110</v>
      </c>
      <c r="H44" s="232"/>
      <c r="I44" s="232">
        <v>3110</v>
      </c>
      <c r="J44" s="232"/>
      <c r="K44" s="232"/>
      <c r="L44" s="232"/>
      <c r="M44" s="232"/>
      <c r="N44" s="230">
        <f>MAX(Table11[[#This Row],[Feb]:[Dec]])</f>
        <v>42130</v>
      </c>
      <c r="O44" s="230">
        <v>42130</v>
      </c>
      <c r="Q44" s="230">
        <f>Table11[[#This Row],[Overaall Reached]]*0.48</f>
        <v>20222.399999999998</v>
      </c>
      <c r="R44" s="230">
        <f>Table11[[#This Row],[Overaall Reached]]-Table14[[#This Row],[Male]]</f>
        <v>21907.600000000002</v>
      </c>
      <c r="S44" s="230">
        <f>Table11[[#This Row],[Overaall Reached]]*0.07</f>
        <v>2949.1000000000004</v>
      </c>
    </row>
    <row r="45" spans="1:19" x14ac:dyDescent="0.25">
      <c r="A45" s="231" t="s">
        <v>76</v>
      </c>
      <c r="B45" s="232" t="s">
        <v>76</v>
      </c>
      <c r="C45" s="232">
        <v>54551</v>
      </c>
      <c r="D45" s="232"/>
      <c r="E45" s="232">
        <v>41515</v>
      </c>
      <c r="F45" s="232"/>
      <c r="G45" s="232"/>
      <c r="H45" s="232"/>
      <c r="I45" s="232"/>
      <c r="J45" s="232"/>
      <c r="K45" s="232"/>
      <c r="L45" s="232"/>
      <c r="M45" s="232"/>
      <c r="N45" s="230">
        <f>MAX(Table11[[#This Row],[Feb]:[Dec]])</f>
        <v>54551</v>
      </c>
      <c r="O45" s="230">
        <v>54551</v>
      </c>
      <c r="Q45" s="230">
        <f>Table11[[#This Row],[Overaall Reached]]*0.48</f>
        <v>26184.48</v>
      </c>
      <c r="R45" s="230">
        <f>Table11[[#This Row],[Overaall Reached]]-Table14[[#This Row],[Male]]</f>
        <v>28366.52</v>
      </c>
      <c r="S45" s="230">
        <f>Table11[[#This Row],[Overaall Reached]]*0.07</f>
        <v>3818.57</v>
      </c>
    </row>
    <row r="46" spans="1:19" x14ac:dyDescent="0.25">
      <c r="A46" s="231" t="s">
        <v>76</v>
      </c>
      <c r="B46" s="232" t="s">
        <v>82</v>
      </c>
      <c r="C46" s="232"/>
      <c r="D46" s="232"/>
      <c r="E46" s="232">
        <v>9843</v>
      </c>
      <c r="F46" s="232">
        <v>5000</v>
      </c>
      <c r="G46" s="232">
        <v>5000</v>
      </c>
      <c r="H46" s="232">
        <v>4685</v>
      </c>
      <c r="I46" s="232"/>
      <c r="J46" s="232"/>
      <c r="K46" s="232"/>
      <c r="L46" s="232"/>
      <c r="M46" s="232"/>
      <c r="N46" s="230">
        <f>MAX(Table11[[#This Row],[Feb]:[Dec]])</f>
        <v>9843</v>
      </c>
      <c r="O46" s="230">
        <v>9843</v>
      </c>
      <c r="Q46" s="230">
        <f>Table11[[#This Row],[Overaall Reached]]*0.48</f>
        <v>4724.6399999999994</v>
      </c>
      <c r="R46" s="230">
        <f>Table11[[#This Row],[Overaall Reached]]-Table14[[#This Row],[Male]]</f>
        <v>5118.3600000000006</v>
      </c>
      <c r="S46" s="230">
        <f>Table11[[#This Row],[Overaall Reached]]*0.07</f>
        <v>689.0100000000001</v>
      </c>
    </row>
    <row r="47" spans="1:19" x14ac:dyDescent="0.25">
      <c r="A47" s="231" t="s">
        <v>76</v>
      </c>
      <c r="B47" s="232" t="s">
        <v>80</v>
      </c>
      <c r="C47" s="232">
        <v>95279</v>
      </c>
      <c r="D47" s="232">
        <v>92049</v>
      </c>
      <c r="E47" s="232">
        <v>82136</v>
      </c>
      <c r="F47" s="232">
        <v>65613</v>
      </c>
      <c r="G47" s="232">
        <v>67046</v>
      </c>
      <c r="H47" s="232">
        <v>12113</v>
      </c>
      <c r="I47" s="232">
        <v>45766</v>
      </c>
      <c r="J47" s="232"/>
      <c r="K47" s="232"/>
      <c r="L47" s="232"/>
      <c r="M47" s="232"/>
      <c r="N47" s="230">
        <f>MAX(Table11[[#This Row],[Feb]:[Dec]])</f>
        <v>95279</v>
      </c>
      <c r="O47" s="230">
        <v>95279</v>
      </c>
      <c r="Q47" s="230">
        <f>Table11[[#This Row],[Overaall Reached]]*0.48</f>
        <v>45733.919999999998</v>
      </c>
      <c r="R47" s="230">
        <f>Table11[[#This Row],[Overaall Reached]]-Table14[[#This Row],[Male]]</f>
        <v>49545.08</v>
      </c>
      <c r="S47" s="230">
        <f>Table11[[#This Row],[Overaall Reached]]*0.07</f>
        <v>6669.5300000000007</v>
      </c>
    </row>
    <row r="48" spans="1:19" x14ac:dyDescent="0.25">
      <c r="A48" s="231" t="s">
        <v>76</v>
      </c>
      <c r="B48" s="232" t="s">
        <v>81</v>
      </c>
      <c r="C48" s="232">
        <v>2200</v>
      </c>
      <c r="D48" s="232">
        <v>65570</v>
      </c>
      <c r="E48" s="232">
        <v>136948</v>
      </c>
      <c r="F48" s="232">
        <v>134565</v>
      </c>
      <c r="G48" s="232"/>
      <c r="H48" s="232"/>
      <c r="I48" s="232"/>
      <c r="J48" s="232"/>
      <c r="K48" s="232"/>
      <c r="L48" s="232"/>
      <c r="M48" s="232"/>
      <c r="N48" s="230">
        <f>MAX(Table11[[#This Row],[Feb]:[Dec]])</f>
        <v>136948</v>
      </c>
      <c r="O48" s="230">
        <v>136948</v>
      </c>
      <c r="Q48" s="230">
        <f>Table11[[#This Row],[Overaall Reached]]*0.48</f>
        <v>65735.039999999994</v>
      </c>
      <c r="R48" s="230">
        <f>Table11[[#This Row],[Overaall Reached]]-Table14[[#This Row],[Male]]</f>
        <v>71212.960000000006</v>
      </c>
      <c r="S48" s="230">
        <f>Table11[[#This Row],[Overaall Reached]]*0.07</f>
        <v>9586.36</v>
      </c>
    </row>
    <row r="49" spans="1:19" x14ac:dyDescent="0.25">
      <c r="A49" s="231" t="s">
        <v>548</v>
      </c>
      <c r="B49" s="232" t="s">
        <v>48</v>
      </c>
      <c r="C49" s="232">
        <v>61077</v>
      </c>
      <c r="D49" s="232">
        <v>97332</v>
      </c>
      <c r="E49" s="232">
        <v>61450</v>
      </c>
      <c r="F49" s="232">
        <v>65356</v>
      </c>
      <c r="G49" s="232">
        <v>65743</v>
      </c>
      <c r="H49" s="232"/>
      <c r="I49" s="232">
        <v>43417</v>
      </c>
      <c r="J49" s="232"/>
      <c r="K49" s="232"/>
      <c r="L49" s="232"/>
      <c r="M49" s="232"/>
      <c r="N49" s="230">
        <f>MAX(Table11[[#This Row],[Feb]:[Dec]])</f>
        <v>97332</v>
      </c>
      <c r="O49" s="230">
        <v>97332</v>
      </c>
      <c r="Q49" s="230">
        <f>Table11[[#This Row],[Overaall Reached]]*0.48</f>
        <v>46719.360000000001</v>
      </c>
      <c r="R49" s="230">
        <f>Table11[[#This Row],[Overaall Reached]]-Table14[[#This Row],[Male]]</f>
        <v>50612.639999999999</v>
      </c>
      <c r="S49" s="230">
        <f>Table11[[#This Row],[Overaall Reached]]*0.07</f>
        <v>6813.2400000000007</v>
      </c>
    </row>
    <row r="50" spans="1:19" x14ac:dyDescent="0.25">
      <c r="A50" s="231" t="s">
        <v>548</v>
      </c>
      <c r="B50" s="232" t="s">
        <v>49</v>
      </c>
      <c r="C50" s="232">
        <v>11271</v>
      </c>
      <c r="D50" s="232">
        <v>11484</v>
      </c>
      <c r="E50" s="232">
        <v>11487</v>
      </c>
      <c r="F50" s="232"/>
      <c r="G50" s="232"/>
      <c r="H50" s="232"/>
      <c r="I50" s="232"/>
      <c r="J50" s="232"/>
      <c r="K50" s="232"/>
      <c r="L50" s="232"/>
      <c r="M50" s="232"/>
      <c r="N50" s="230">
        <f>MAX(Table11[[#This Row],[Feb]:[Dec]])</f>
        <v>11487</v>
      </c>
      <c r="O50" s="230">
        <v>11487</v>
      </c>
      <c r="Q50" s="230">
        <f>Table11[[#This Row],[Overaall Reached]]*0.48</f>
        <v>5513.76</v>
      </c>
      <c r="R50" s="230">
        <f>Table11[[#This Row],[Overaall Reached]]-Table14[[#This Row],[Male]]</f>
        <v>5973.24</v>
      </c>
      <c r="S50" s="230">
        <f>Table11[[#This Row],[Overaall Reached]]*0.07</f>
        <v>804.09</v>
      </c>
    </row>
    <row r="51" spans="1:19" x14ac:dyDescent="0.25">
      <c r="A51" s="231" t="s">
        <v>548</v>
      </c>
      <c r="B51" s="232" t="s">
        <v>98</v>
      </c>
      <c r="C51" s="232">
        <v>40942</v>
      </c>
      <c r="D51" s="232">
        <v>79526</v>
      </c>
      <c r="E51" s="232">
        <v>42945</v>
      </c>
      <c r="F51" s="232">
        <v>42945</v>
      </c>
      <c r="G51" s="232"/>
      <c r="H51" s="232">
        <v>15024</v>
      </c>
      <c r="I51" s="232">
        <v>14328</v>
      </c>
      <c r="J51" s="232"/>
      <c r="K51" s="232"/>
      <c r="L51" s="232"/>
      <c r="M51" s="232"/>
      <c r="N51" s="230">
        <f>Table11[[#This Row],[Jul]]</f>
        <v>15024</v>
      </c>
      <c r="O51" s="230">
        <f>Table11[[#This Row],[Jul]]</f>
        <v>15024</v>
      </c>
      <c r="Q51" s="230">
        <f>Table11[[#This Row],[Overaall Reached]]*0.48</f>
        <v>7211.5199999999995</v>
      </c>
      <c r="R51" s="230">
        <f>Table11[[#This Row],[Overaall Reached]]-Table14[[#This Row],[Male]]</f>
        <v>7812.4800000000005</v>
      </c>
      <c r="S51" s="230">
        <f>Table11[[#This Row],[Overaall Reached]]*0.07</f>
        <v>1051.68</v>
      </c>
    </row>
    <row r="52" spans="1:19" x14ac:dyDescent="0.25">
      <c r="A52" s="231" t="s">
        <v>548</v>
      </c>
      <c r="B52" s="232" t="s">
        <v>50</v>
      </c>
      <c r="C52" s="232"/>
      <c r="D52" s="232">
        <v>34665</v>
      </c>
      <c r="E52" s="232">
        <v>42403</v>
      </c>
      <c r="F52" s="232"/>
      <c r="G52" s="232"/>
      <c r="H52" s="232"/>
      <c r="I52" s="232"/>
      <c r="J52" s="232"/>
      <c r="K52" s="232"/>
      <c r="L52" s="232"/>
      <c r="M52" s="232"/>
      <c r="N52" s="230">
        <f>MAX(Table11[[#This Row],[Feb]:[Dec]])</f>
        <v>42403</v>
      </c>
      <c r="O52" s="230">
        <v>42403</v>
      </c>
      <c r="Q52" s="230">
        <f>Table11[[#This Row],[Overaall Reached]]*0.48</f>
        <v>20353.439999999999</v>
      </c>
      <c r="R52" s="230">
        <f>Table11[[#This Row],[Overaall Reached]]-Table14[[#This Row],[Male]]</f>
        <v>22049.56</v>
      </c>
      <c r="S52" s="230">
        <f>Table11[[#This Row],[Overaall Reached]]*0.07</f>
        <v>2968.2100000000005</v>
      </c>
    </row>
    <row r="53" spans="1:19" x14ac:dyDescent="0.25">
      <c r="A53" s="231" t="s">
        <v>548</v>
      </c>
      <c r="B53" s="232" t="s">
        <v>51</v>
      </c>
      <c r="C53" s="232">
        <v>29020</v>
      </c>
      <c r="D53" s="232">
        <v>83862</v>
      </c>
      <c r="E53" s="232">
        <v>57823</v>
      </c>
      <c r="F53" s="232">
        <v>57823</v>
      </c>
      <c r="G53" s="232">
        <v>57823</v>
      </c>
      <c r="H53" s="232">
        <v>2977</v>
      </c>
      <c r="I53" s="232">
        <v>30760</v>
      </c>
      <c r="J53" s="232"/>
      <c r="K53" s="232"/>
      <c r="L53" s="232"/>
      <c r="M53" s="232"/>
      <c r="N53" s="230">
        <f>MAX(Table11[[#This Row],[Feb]:[Dec]])</f>
        <v>83862</v>
      </c>
      <c r="O53" s="230">
        <v>57823</v>
      </c>
      <c r="Q53" s="230">
        <f>Table11[[#This Row],[Overaall Reached]]*0.48</f>
        <v>27755.039999999997</v>
      </c>
      <c r="R53" s="230">
        <f>Table11[[#This Row],[Overaall Reached]]-Table14[[#This Row],[Male]]</f>
        <v>30067.960000000003</v>
      </c>
      <c r="S53" s="230">
        <f>Table11[[#This Row],[Overaall Reached]]*0.07</f>
        <v>4047.6100000000006</v>
      </c>
    </row>
    <row r="54" spans="1:19" x14ac:dyDescent="0.25">
      <c r="A54" s="231" t="s">
        <v>548</v>
      </c>
      <c r="B54" s="232" t="s">
        <v>52</v>
      </c>
      <c r="C54" s="232">
        <v>74824</v>
      </c>
      <c r="D54" s="232">
        <v>74497</v>
      </c>
      <c r="E54" s="232">
        <v>58968</v>
      </c>
      <c r="F54" s="232">
        <v>77961</v>
      </c>
      <c r="G54" s="232">
        <v>53574</v>
      </c>
      <c r="H54" s="232">
        <v>4497</v>
      </c>
      <c r="I54" s="232">
        <v>37837</v>
      </c>
      <c r="J54" s="232"/>
      <c r="K54" s="232"/>
      <c r="L54" s="232"/>
      <c r="M54" s="232"/>
      <c r="N54" s="230">
        <f>MAX(Table11[[#This Row],[Feb]:[Dec]])</f>
        <v>77961</v>
      </c>
      <c r="O54" s="230">
        <v>77961</v>
      </c>
      <c r="Q54" s="230">
        <f>Table11[[#This Row],[Overaall Reached]]*0.48</f>
        <v>37421.279999999999</v>
      </c>
      <c r="R54" s="230">
        <f>Table11[[#This Row],[Overaall Reached]]-Table14[[#This Row],[Male]]</f>
        <v>40539.72</v>
      </c>
      <c r="S54" s="230">
        <f>Table11[[#This Row],[Overaall Reached]]*0.07</f>
        <v>5457.27</v>
      </c>
    </row>
    <row r="55" spans="1:19" x14ac:dyDescent="0.25">
      <c r="A55" s="231" t="s">
        <v>548</v>
      </c>
      <c r="B55" s="232" t="s">
        <v>53</v>
      </c>
      <c r="C55" s="232">
        <v>13532</v>
      </c>
      <c r="D55" s="232">
        <v>46975</v>
      </c>
      <c r="E55" s="232">
        <v>47248</v>
      </c>
      <c r="F55" s="232">
        <v>47367</v>
      </c>
      <c r="G55" s="232"/>
      <c r="H55" s="232"/>
      <c r="I55" s="232">
        <v>2001</v>
      </c>
      <c r="J55" s="232"/>
      <c r="K55" s="232"/>
      <c r="L55" s="232"/>
      <c r="M55" s="232"/>
      <c r="N55" s="230">
        <f>MAX(Table11[[#This Row],[Feb]:[Dec]])</f>
        <v>47367</v>
      </c>
      <c r="O55" s="230">
        <v>47367</v>
      </c>
      <c r="Q55" s="230">
        <f>Table11[[#This Row],[Overaall Reached]]*0.48</f>
        <v>22736.16</v>
      </c>
      <c r="R55" s="230">
        <f>Table11[[#This Row],[Overaall Reached]]-Table14[[#This Row],[Male]]</f>
        <v>24630.84</v>
      </c>
      <c r="S55" s="230">
        <f>Table11[[#This Row],[Overaall Reached]]*0.07</f>
        <v>3315.6900000000005</v>
      </c>
    </row>
    <row r="56" spans="1:19" x14ac:dyDescent="0.25">
      <c r="A56" s="231" t="s">
        <v>56</v>
      </c>
      <c r="B56" s="232" t="s">
        <v>549</v>
      </c>
      <c r="C56" s="232">
        <v>35150</v>
      </c>
      <c r="D56" s="232">
        <v>52256</v>
      </c>
      <c r="E56" s="232">
        <v>54281</v>
      </c>
      <c r="F56" s="232"/>
      <c r="G56" s="232"/>
      <c r="H56" s="232">
        <v>13021</v>
      </c>
      <c r="I56" s="232">
        <v>14745</v>
      </c>
      <c r="J56" s="232"/>
      <c r="K56" s="232"/>
      <c r="L56" s="232"/>
      <c r="M56" s="232"/>
      <c r="N56" s="230">
        <f>MAX(Table11[[#This Row],[Feb]:[Dec]])</f>
        <v>54281</v>
      </c>
      <c r="O56" s="230">
        <v>54281</v>
      </c>
      <c r="Q56" s="230">
        <f>Table11[[#This Row],[Overaall Reached]]*0.48</f>
        <v>26054.879999999997</v>
      </c>
      <c r="R56" s="230">
        <f>Table11[[#This Row],[Overaall Reached]]-Table14[[#This Row],[Male]]</f>
        <v>28226.120000000003</v>
      </c>
      <c r="S56" s="230">
        <f>Table11[[#This Row],[Overaall Reached]]*0.07</f>
        <v>3799.6700000000005</v>
      </c>
    </row>
    <row r="57" spans="1:19" x14ac:dyDescent="0.25">
      <c r="A57" s="231" t="s">
        <v>56</v>
      </c>
      <c r="B57" s="232" t="s">
        <v>57</v>
      </c>
      <c r="C57" s="232">
        <v>19266</v>
      </c>
      <c r="D57" s="232">
        <v>19055</v>
      </c>
      <c r="E57" s="232">
        <v>9740</v>
      </c>
      <c r="F57" s="232">
        <v>20170</v>
      </c>
      <c r="G57" s="232">
        <v>8231</v>
      </c>
      <c r="H57" s="232"/>
      <c r="I57" s="232"/>
      <c r="J57" s="232"/>
      <c r="K57" s="232"/>
      <c r="L57" s="232"/>
      <c r="M57" s="232"/>
      <c r="N57" s="230">
        <f>MAX(Table11[[#This Row],[Feb]:[Dec]])</f>
        <v>20170</v>
      </c>
      <c r="O57" s="230">
        <v>20170</v>
      </c>
      <c r="Q57" s="230">
        <f>Table11[[#This Row],[Overaall Reached]]*0.48</f>
        <v>9681.6</v>
      </c>
      <c r="R57" s="230">
        <f>Table11[[#This Row],[Overaall Reached]]-Table14[[#This Row],[Male]]</f>
        <v>10488.4</v>
      </c>
      <c r="S57" s="230">
        <f>Table11[[#This Row],[Overaall Reached]]*0.07</f>
        <v>1411.9</v>
      </c>
    </row>
    <row r="58" spans="1:19" x14ac:dyDescent="0.25">
      <c r="A58" s="231" t="s">
        <v>56</v>
      </c>
      <c r="B58" s="232" t="s">
        <v>550</v>
      </c>
      <c r="C58" s="232">
        <v>40520</v>
      </c>
      <c r="D58" s="232">
        <v>40516</v>
      </c>
      <c r="E58" s="232">
        <v>40868</v>
      </c>
      <c r="F58" s="232">
        <v>40870</v>
      </c>
      <c r="G58" s="232">
        <v>40870</v>
      </c>
      <c r="H58" s="232"/>
      <c r="I58" s="232"/>
      <c r="J58" s="232"/>
      <c r="K58" s="232"/>
      <c r="L58" s="232"/>
      <c r="M58" s="232"/>
      <c r="N58" s="230">
        <f>MAX(Table11[[#This Row],[Feb]:[Dec]])</f>
        <v>40870</v>
      </c>
      <c r="O58" s="230">
        <v>40870</v>
      </c>
      <c r="Q58" s="230">
        <f>Table11[[#This Row],[Overaall Reached]]*0.48</f>
        <v>19617.599999999999</v>
      </c>
      <c r="R58" s="230">
        <f>Table11[[#This Row],[Overaall Reached]]-Table14[[#This Row],[Male]]</f>
        <v>21252.400000000001</v>
      </c>
      <c r="S58" s="230">
        <f>Table11[[#This Row],[Overaall Reached]]*0.07</f>
        <v>2860.9</v>
      </c>
    </row>
    <row r="59" spans="1:19" x14ac:dyDescent="0.25">
      <c r="A59" s="231" t="s">
        <v>56</v>
      </c>
      <c r="B59" s="232" t="s">
        <v>60</v>
      </c>
      <c r="C59" s="232">
        <v>24979</v>
      </c>
      <c r="D59" s="232">
        <v>29851</v>
      </c>
      <c r="E59" s="232">
        <v>31312</v>
      </c>
      <c r="F59" s="232"/>
      <c r="G59" s="232"/>
      <c r="H59" s="232">
        <v>12349</v>
      </c>
      <c r="I59" s="232">
        <v>28043</v>
      </c>
      <c r="J59" s="232"/>
      <c r="K59" s="232"/>
      <c r="L59" s="232"/>
      <c r="M59" s="232"/>
      <c r="N59" s="230">
        <f>MAX(Table11[[#This Row],[Feb]:[Dec]])</f>
        <v>31312</v>
      </c>
      <c r="O59" s="230">
        <v>31312</v>
      </c>
      <c r="Q59" s="230">
        <f>Table11[[#This Row],[Overaall Reached]]*0.48</f>
        <v>15029.76</v>
      </c>
      <c r="R59" s="230">
        <f>Table11[[#This Row],[Overaall Reached]]-Table14[[#This Row],[Male]]</f>
        <v>16282.24</v>
      </c>
      <c r="S59" s="230">
        <f>Table11[[#This Row],[Overaall Reached]]*0.07</f>
        <v>2191.84</v>
      </c>
    </row>
    <row r="60" spans="1:19" x14ac:dyDescent="0.25">
      <c r="A60" s="231" t="s">
        <v>56</v>
      </c>
      <c r="B60" s="232" t="s">
        <v>58</v>
      </c>
      <c r="C60" s="232">
        <v>21821</v>
      </c>
      <c r="D60" s="232">
        <v>21838</v>
      </c>
      <c r="E60" s="232">
        <v>22038</v>
      </c>
      <c r="F60" s="232">
        <v>22298</v>
      </c>
      <c r="G60" s="232">
        <v>22142</v>
      </c>
      <c r="H60" s="232">
        <v>14947</v>
      </c>
      <c r="I60" s="232">
        <v>18497</v>
      </c>
      <c r="J60" s="232"/>
      <c r="K60" s="232"/>
      <c r="L60" s="232"/>
      <c r="M60" s="232"/>
      <c r="N60" s="230">
        <f>MAX(Table11[[#This Row],[Feb]:[Dec]])</f>
        <v>22298</v>
      </c>
      <c r="O60" s="230">
        <v>22298</v>
      </c>
      <c r="Q60" s="230">
        <f>Table11[[#This Row],[Overaall Reached]]*0.48</f>
        <v>10703.039999999999</v>
      </c>
      <c r="R60" s="230">
        <f>Table11[[#This Row],[Overaall Reached]]-Table14[[#This Row],[Male]]</f>
        <v>11594.960000000001</v>
      </c>
      <c r="S60" s="230">
        <f>Table11[[#This Row],[Overaall Reached]]*0.07</f>
        <v>1560.8600000000001</v>
      </c>
    </row>
    <row r="61" spans="1:19" x14ac:dyDescent="0.25">
      <c r="A61" s="231" t="s">
        <v>56</v>
      </c>
      <c r="B61" s="232" t="s">
        <v>61</v>
      </c>
      <c r="C61" s="232">
        <v>41828</v>
      </c>
      <c r="D61" s="232">
        <v>63943</v>
      </c>
      <c r="E61" s="232">
        <v>66572</v>
      </c>
      <c r="F61" s="232"/>
      <c r="G61" s="232">
        <v>456</v>
      </c>
      <c r="H61" s="232">
        <v>2465</v>
      </c>
      <c r="I61" s="232">
        <v>21119</v>
      </c>
      <c r="J61" s="232"/>
      <c r="K61" s="232"/>
      <c r="L61" s="232"/>
      <c r="M61" s="232"/>
      <c r="N61" s="230">
        <f>MAX(Table11[[#This Row],[Feb]:[Dec]])</f>
        <v>66572</v>
      </c>
      <c r="O61" s="230">
        <v>66572</v>
      </c>
      <c r="Q61" s="230">
        <f>Table11[[#This Row],[Overaall Reached]]*0.48</f>
        <v>31954.559999999998</v>
      </c>
      <c r="R61" s="230">
        <f>Table11[[#This Row],[Overaall Reached]]-Table14[[#This Row],[Male]]</f>
        <v>34617.440000000002</v>
      </c>
      <c r="S61" s="230">
        <f>Table11[[#This Row],[Overaall Reached]]*0.07</f>
        <v>4660.0400000000009</v>
      </c>
    </row>
    <row r="62" spans="1:19" x14ac:dyDescent="0.25">
      <c r="A62" s="231" t="s">
        <v>56</v>
      </c>
      <c r="B62" s="232" t="s">
        <v>62</v>
      </c>
      <c r="C62" s="232">
        <v>2205</v>
      </c>
      <c r="D62" s="232">
        <v>18587</v>
      </c>
      <c r="E62" s="232">
        <v>18586</v>
      </c>
      <c r="F62" s="232"/>
      <c r="G62" s="232"/>
      <c r="H62" s="232"/>
      <c r="I62" s="232"/>
      <c r="J62" s="232"/>
      <c r="K62" s="232"/>
      <c r="L62" s="232"/>
      <c r="M62" s="232"/>
      <c r="N62" s="230">
        <f>MAX(Table11[[#This Row],[Feb]:[Dec]])</f>
        <v>18587</v>
      </c>
      <c r="O62" s="230">
        <v>18587</v>
      </c>
      <c r="Q62" s="230">
        <f>Table11[[#This Row],[Overaall Reached]]*0.48</f>
        <v>8921.76</v>
      </c>
      <c r="R62" s="230">
        <f>Table11[[#This Row],[Overaall Reached]]-Table14[[#This Row],[Male]]</f>
        <v>9665.24</v>
      </c>
      <c r="S62" s="230">
        <f>Table11[[#This Row],[Overaall Reached]]*0.07</f>
        <v>1301.0900000000001</v>
      </c>
    </row>
    <row r="63" spans="1:19" x14ac:dyDescent="0.25">
      <c r="A63" s="231" t="s">
        <v>66</v>
      </c>
      <c r="B63" s="232" t="s">
        <v>67</v>
      </c>
      <c r="C63" s="232">
        <v>20481</v>
      </c>
      <c r="D63" s="232">
        <v>20897</v>
      </c>
      <c r="E63" s="232">
        <v>20897</v>
      </c>
      <c r="F63" s="232"/>
      <c r="G63" s="232"/>
      <c r="H63" s="232"/>
      <c r="I63" s="232"/>
      <c r="J63" s="232"/>
      <c r="K63" s="232"/>
      <c r="L63" s="232"/>
      <c r="M63" s="232"/>
      <c r="N63" s="230">
        <f>MAX(Table11[[#This Row],[Feb]:[Dec]])</f>
        <v>20897</v>
      </c>
      <c r="O63" s="230">
        <v>20897</v>
      </c>
      <c r="Q63" s="230">
        <f>Table11[[#This Row],[Overaall Reached]]*0.48</f>
        <v>10030.56</v>
      </c>
      <c r="R63" s="230">
        <f>Table11[[#This Row],[Overaall Reached]]-Table14[[#This Row],[Male]]</f>
        <v>10866.44</v>
      </c>
      <c r="S63" s="230">
        <f>Table11[[#This Row],[Overaall Reached]]*0.07</f>
        <v>1462.7900000000002</v>
      </c>
    </row>
    <row r="64" spans="1:19" x14ac:dyDescent="0.25">
      <c r="A64" s="231" t="s">
        <v>66</v>
      </c>
      <c r="B64" s="232" t="s">
        <v>68</v>
      </c>
      <c r="C64" s="232">
        <v>147451</v>
      </c>
      <c r="D64" s="232">
        <v>227034</v>
      </c>
      <c r="E64" s="232">
        <v>83806</v>
      </c>
      <c r="F64" s="232"/>
      <c r="G64" s="232">
        <v>4223</v>
      </c>
      <c r="H64" s="232"/>
      <c r="I64" s="232"/>
      <c r="J64" s="232"/>
      <c r="K64" s="232"/>
      <c r="L64" s="232"/>
      <c r="M64" s="232"/>
      <c r="N64" s="230">
        <f>MAX(Table11[[#This Row],[Feb]:[Dec]])</f>
        <v>227034</v>
      </c>
      <c r="O64" s="230">
        <v>227034</v>
      </c>
      <c r="Q64" s="230">
        <f>Table11[[#This Row],[Overaall Reached]]*0.48</f>
        <v>108976.31999999999</v>
      </c>
      <c r="R64" s="230">
        <f>Table11[[#This Row],[Overaall Reached]]-Table14[[#This Row],[Male]]</f>
        <v>118057.68000000001</v>
      </c>
      <c r="S64" s="230">
        <f>Table11[[#This Row],[Overaall Reached]]*0.07</f>
        <v>15892.380000000001</v>
      </c>
    </row>
    <row r="65" spans="1:19" x14ac:dyDescent="0.25">
      <c r="A65" s="231" t="s">
        <v>66</v>
      </c>
      <c r="B65" s="232" t="s">
        <v>96</v>
      </c>
      <c r="C65" s="232">
        <v>146373</v>
      </c>
      <c r="D65" s="232">
        <v>139858</v>
      </c>
      <c r="E65" s="232">
        <v>147292</v>
      </c>
      <c r="F65" s="232"/>
      <c r="G65" s="232"/>
      <c r="H65" s="232"/>
      <c r="I65" s="232"/>
      <c r="J65" s="232"/>
      <c r="K65" s="232"/>
      <c r="L65" s="232"/>
      <c r="M65" s="232"/>
      <c r="N65" s="230">
        <f>MAX(Table11[[#This Row],[Feb]:[Dec]])</f>
        <v>147292</v>
      </c>
      <c r="O65" s="230">
        <v>147292</v>
      </c>
      <c r="Q65" s="230">
        <f>Table11[[#This Row],[Overaall Reached]]*0.48</f>
        <v>70700.160000000003</v>
      </c>
      <c r="R65" s="230">
        <f>Table11[[#This Row],[Overaall Reached]]-Table14[[#This Row],[Male]]</f>
        <v>76591.839999999997</v>
      </c>
      <c r="S65" s="230">
        <f>Table11[[#This Row],[Overaall Reached]]*0.07</f>
        <v>10310.44</v>
      </c>
    </row>
    <row r="66" spans="1:19" x14ac:dyDescent="0.25">
      <c r="A66" s="231" t="s">
        <v>66</v>
      </c>
      <c r="B66" s="232" t="s">
        <v>551</v>
      </c>
      <c r="C66" s="232">
        <v>48471</v>
      </c>
      <c r="D66" s="232">
        <v>96505</v>
      </c>
      <c r="E66" s="232">
        <v>48694</v>
      </c>
      <c r="F66" s="232">
        <v>48706</v>
      </c>
      <c r="G66" s="232">
        <v>48727</v>
      </c>
      <c r="H66" s="232"/>
      <c r="I66" s="232"/>
      <c r="J66" s="232"/>
      <c r="K66" s="232"/>
      <c r="L66" s="232"/>
      <c r="M66" s="232"/>
      <c r="N66" s="230">
        <f>MAX(Table11[[#This Row],[Feb]:[Dec]])</f>
        <v>96505</v>
      </c>
      <c r="O66" s="230">
        <f>MAX(Table11[[#This Row],[Feb]:[Dec]])</f>
        <v>96505</v>
      </c>
      <c r="Q66" s="230">
        <f>Table11[[#This Row],[Overaall Reached]]*0.48</f>
        <v>46322.400000000001</v>
      </c>
      <c r="R66" s="230">
        <f>Table11[[#This Row],[Overaall Reached]]-Table14[[#This Row],[Male]]</f>
        <v>50182.6</v>
      </c>
      <c r="S66" s="230">
        <f>Table11[[#This Row],[Overaall Reached]]*0.07</f>
        <v>6755.35</v>
      </c>
    </row>
    <row r="67" spans="1:19" x14ac:dyDescent="0.25">
      <c r="A67" s="231" t="s">
        <v>66</v>
      </c>
      <c r="B67" s="232" t="s">
        <v>95</v>
      </c>
      <c r="C67" s="232">
        <v>57901</v>
      </c>
      <c r="D67" s="232">
        <v>115828</v>
      </c>
      <c r="E67" s="232">
        <v>58425</v>
      </c>
      <c r="F67" s="232">
        <v>58425</v>
      </c>
      <c r="G67" s="232"/>
      <c r="H67" s="232"/>
      <c r="I67" s="232"/>
      <c r="J67" s="232"/>
      <c r="K67" s="232"/>
      <c r="L67" s="232"/>
      <c r="M67" s="232"/>
      <c r="N67" s="230">
        <f>MAX(Table11[[#This Row],[Feb]:[Dec]])</f>
        <v>115828</v>
      </c>
      <c r="O67" s="230">
        <f>MAX(Table11[[#This Row],[Feb]:[Dec]])</f>
        <v>115828</v>
      </c>
      <c r="Q67" s="230">
        <f>Table11[[#This Row],[Overaall Reached]]*0.48</f>
        <v>55597.439999999995</v>
      </c>
      <c r="R67" s="230">
        <f>Table11[[#This Row],[Overaall Reached]]-Table14[[#This Row],[Male]]</f>
        <v>60230.560000000005</v>
      </c>
      <c r="S67" s="230">
        <f>Table11[[#This Row],[Overaall Reached]]*0.07</f>
        <v>8107.9600000000009</v>
      </c>
    </row>
    <row r="68" spans="1:19" x14ac:dyDescent="0.25">
      <c r="A68" s="231" t="s">
        <v>66</v>
      </c>
      <c r="B68" s="232" t="s">
        <v>70</v>
      </c>
      <c r="C68" s="232">
        <v>40738</v>
      </c>
      <c r="D68" s="232">
        <v>93073</v>
      </c>
      <c r="E68" s="232">
        <v>93593</v>
      </c>
      <c r="F68" s="232"/>
      <c r="G68" s="232"/>
      <c r="H68" s="232"/>
      <c r="I68" s="232"/>
      <c r="J68" s="232"/>
      <c r="K68" s="232"/>
      <c r="L68" s="232"/>
      <c r="M68" s="232"/>
      <c r="N68" s="230">
        <f>MAX(Table11[[#This Row],[Feb]:[Dec]])</f>
        <v>93593</v>
      </c>
      <c r="O68" s="230">
        <v>93593</v>
      </c>
      <c r="Q68" s="230">
        <f>Table11[[#This Row],[Overaall Reached]]*0.48</f>
        <v>44924.639999999999</v>
      </c>
      <c r="R68" s="230">
        <f>Table11[[#This Row],[Overaall Reached]]-Table14[[#This Row],[Male]]</f>
        <v>48668.36</v>
      </c>
      <c r="S68" s="230">
        <f>Table11[[#This Row],[Overaall Reached]]*0.07</f>
        <v>6551.51</v>
      </c>
    </row>
    <row r="69" spans="1:19" x14ac:dyDescent="0.25">
      <c r="A69" s="231" t="s">
        <v>66</v>
      </c>
      <c r="B69" s="232" t="s">
        <v>94</v>
      </c>
      <c r="C69" s="232">
        <v>17304</v>
      </c>
      <c r="D69" s="232">
        <v>17334</v>
      </c>
      <c r="E69" s="232">
        <v>17334</v>
      </c>
      <c r="F69" s="232"/>
      <c r="G69" s="232"/>
      <c r="H69" s="232"/>
      <c r="I69" s="232"/>
      <c r="J69" s="232"/>
      <c r="K69" s="232"/>
      <c r="L69" s="232"/>
      <c r="M69" s="232"/>
      <c r="N69" s="230">
        <f>MAX(Table11[[#This Row],[Feb]:[Dec]])</f>
        <v>17334</v>
      </c>
      <c r="O69" s="230">
        <v>17334</v>
      </c>
      <c r="Q69" s="230">
        <f>Table11[[#This Row],[Overaall Reached]]*0.48</f>
        <v>8320.32</v>
      </c>
      <c r="R69" s="230">
        <f>Table11[[#This Row],[Overaall Reached]]-Table14[[#This Row],[Male]]</f>
        <v>9013.68</v>
      </c>
      <c r="S69" s="230">
        <f>Table11[[#This Row],[Overaall Reached]]*0.07</f>
        <v>1213.3800000000001</v>
      </c>
    </row>
    <row r="70" spans="1:19" x14ac:dyDescent="0.25">
      <c r="A70" s="231" t="s">
        <v>66</v>
      </c>
      <c r="B70" s="232" t="s">
        <v>93</v>
      </c>
      <c r="C70" s="232">
        <v>27159</v>
      </c>
      <c r="D70" s="232">
        <v>86270</v>
      </c>
      <c r="E70" s="232">
        <v>96270</v>
      </c>
      <c r="F70" s="232">
        <v>42335</v>
      </c>
      <c r="G70" s="232">
        <v>42335</v>
      </c>
      <c r="H70" s="232"/>
      <c r="I70" s="232">
        <v>10253</v>
      </c>
      <c r="J70" s="232"/>
      <c r="K70" s="232"/>
      <c r="L70" s="232"/>
      <c r="M70" s="232"/>
      <c r="N70" s="230">
        <v>27159</v>
      </c>
      <c r="O70" s="230">
        <f>Table11[[#This Row],[Feb]]</f>
        <v>27159</v>
      </c>
      <c r="Q70" s="230">
        <f>Table11[[#This Row],[Overaall Reached]]*0.48</f>
        <v>13036.32</v>
      </c>
      <c r="R70" s="230">
        <f>Table11[[#This Row],[Overaall Reached]]-Table14[[#This Row],[Male]]</f>
        <v>14122.68</v>
      </c>
      <c r="S70" s="230">
        <f>Table11[[#This Row],[Overaall Reached]]*0.07</f>
        <v>1901.13</v>
      </c>
    </row>
    <row r="71" spans="1:19" x14ac:dyDescent="0.25">
      <c r="A71" s="233" t="s">
        <v>2</v>
      </c>
      <c r="B71" s="230"/>
      <c r="C71" s="233">
        <f>SUM(C2:C70)</f>
        <v>2949913.88</v>
      </c>
      <c r="D71" s="233">
        <f t="shared" ref="D71:I71" si="0">SUM(D2:D70)</f>
        <v>3015960</v>
      </c>
      <c r="E71" s="233">
        <f t="shared" si="0"/>
        <v>3805182</v>
      </c>
      <c r="F71" s="233">
        <f t="shared" si="0"/>
        <v>1970505</v>
      </c>
      <c r="G71" s="233">
        <f t="shared" si="0"/>
        <v>1319117</v>
      </c>
      <c r="H71" s="233">
        <f t="shared" si="0"/>
        <v>438879</v>
      </c>
      <c r="I71" s="233">
        <f t="shared" si="0"/>
        <v>894946</v>
      </c>
      <c r="J71" s="233"/>
      <c r="K71" s="233"/>
      <c r="L71" s="233"/>
      <c r="M71" s="233"/>
      <c r="N71" s="233">
        <f>SUM(N2:N70)</f>
        <v>4114084</v>
      </c>
      <c r="O71" s="233">
        <f>SUM(O2:O70)</f>
        <v>3918375</v>
      </c>
      <c r="Q71" s="233">
        <f>Table11[[#This Row],[Overaall Reached]]*0.48</f>
        <v>1880820</v>
      </c>
      <c r="R71" s="233">
        <f>Table11[[#This Row],[Overaall Reached]]-Table14[[#This Row],[Male]]</f>
        <v>2037555</v>
      </c>
      <c r="S71" s="233">
        <f>Table11[[#This Row],[Overaall Reached]]*0.07</f>
        <v>274286.25</v>
      </c>
    </row>
  </sheetData>
  <pageMargins left="0.7" right="0.7" top="0.75" bottom="0.75" header="0.3" footer="0.3"/>
  <ignoredErrors>
    <ignoredError sqref="N70:N71" calculatedColumn="1"/>
  </ignoredErrors>
  <tableParts count="2">
    <tablePart r:id="rId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4E30D-6C40-4D54-88DA-F03EA98B44EC}">
  <dimension ref="A1:BH94"/>
  <sheetViews>
    <sheetView showGridLines="0" zoomScale="96" zoomScaleNormal="96" workbookViewId="0">
      <pane xSplit="2" ySplit="1" topLeftCell="C26" activePane="bottomRight" state="frozen"/>
      <selection pane="topRight" activeCell="C1" sqref="C1"/>
      <selection pane="bottomLeft" activeCell="A2" sqref="A2"/>
      <selection pane="bottomRight" activeCell="P79" sqref="P79"/>
    </sheetView>
  </sheetViews>
  <sheetFormatPr defaultRowHeight="15" x14ac:dyDescent="0.25"/>
  <cols>
    <col min="1" max="1" width="17.42578125" bestFit="1" customWidth="1"/>
    <col min="2" max="2" width="16.85546875" customWidth="1"/>
    <col min="3" max="3" width="18.5703125" customWidth="1"/>
    <col min="4" max="4" width="10.85546875" customWidth="1"/>
    <col min="5" max="5" width="12" customWidth="1"/>
    <col min="6" max="6" width="12.42578125" customWidth="1"/>
    <col min="7" max="7" width="10" bestFit="1" customWidth="1"/>
    <col min="8" max="8" width="9.28515625" customWidth="1"/>
    <col min="9" max="9" width="12" customWidth="1"/>
    <col min="11" max="11" width="2.7109375" style="295" customWidth="1"/>
    <col min="14" max="15" width="9.42578125" customWidth="1"/>
    <col min="17" max="17" width="2.140625" style="295" customWidth="1"/>
    <col min="18" max="29" width="8.140625" style="306" customWidth="1"/>
    <col min="30" max="30" width="21.5703125" customWidth="1"/>
    <col min="31" max="31" width="12.85546875" customWidth="1"/>
    <col min="32" max="32" width="11.42578125" customWidth="1"/>
    <col min="33" max="33" width="10.5703125" customWidth="1"/>
    <col min="34" max="34" width="9" customWidth="1"/>
    <col min="35" max="35" width="11" customWidth="1"/>
    <col min="36" max="36" width="9.5703125" customWidth="1"/>
    <col min="37" max="37" width="3.7109375" style="310" customWidth="1"/>
    <col min="38" max="38" width="13.42578125" bestFit="1" customWidth="1"/>
    <col min="39" max="39" width="10.5703125" customWidth="1"/>
    <col min="41" max="41" width="10.42578125" customWidth="1"/>
    <col min="42" max="42" width="3.140625" style="310" customWidth="1"/>
    <col min="43" max="43" width="10.5703125" style="306" customWidth="1"/>
    <col min="44" max="44" width="8.85546875" style="306" customWidth="1"/>
    <col min="45" max="45" width="13" customWidth="1"/>
    <col min="46" max="46" width="5.5703125" customWidth="1"/>
    <col min="47" max="47" width="12.42578125" bestFit="1" customWidth="1"/>
    <col min="48" max="48" width="5.42578125" customWidth="1"/>
    <col min="49" max="49" width="10.85546875" bestFit="1" customWidth="1"/>
    <col min="50" max="50" width="4.5703125" customWidth="1"/>
    <col min="51" max="51" width="10" customWidth="1"/>
    <col min="52" max="52" width="4.85546875" customWidth="1"/>
    <col min="53" max="53" width="2.42578125" style="310" customWidth="1"/>
    <col min="54" max="54" width="9.85546875" bestFit="1" customWidth="1"/>
    <col min="55" max="55" width="6.28515625" customWidth="1"/>
    <col min="56" max="56" width="10.5703125" customWidth="1"/>
    <col min="57" max="57" width="5.42578125" customWidth="1"/>
    <col min="59" max="59" width="6.28515625" customWidth="1"/>
    <col min="60" max="60" width="2.5703125" style="310" customWidth="1"/>
  </cols>
  <sheetData>
    <row r="1" spans="1:59" ht="75" x14ac:dyDescent="0.25">
      <c r="A1" s="289" t="s">
        <v>0</v>
      </c>
      <c r="B1" s="289" t="s">
        <v>1</v>
      </c>
      <c r="C1" s="290" t="s">
        <v>519</v>
      </c>
      <c r="D1" s="285" t="s">
        <v>308</v>
      </c>
      <c r="E1" s="287" t="s">
        <v>398</v>
      </c>
      <c r="F1" s="251" t="s">
        <v>311</v>
      </c>
      <c r="G1" s="251" t="s">
        <v>176</v>
      </c>
      <c r="H1" s="251" t="s">
        <v>312</v>
      </c>
      <c r="I1" s="251" t="s">
        <v>313</v>
      </c>
      <c r="J1" s="292" t="s">
        <v>316</v>
      </c>
      <c r="K1" s="293"/>
      <c r="L1" s="301" t="s">
        <v>117</v>
      </c>
      <c r="M1" s="302" t="s">
        <v>118</v>
      </c>
      <c r="N1" s="303" t="s">
        <v>119</v>
      </c>
      <c r="O1" s="304" t="s">
        <v>120</v>
      </c>
      <c r="P1" s="305" t="s">
        <v>121</v>
      </c>
      <c r="AD1" s="291" t="s">
        <v>0</v>
      </c>
      <c r="AE1" s="291" t="s">
        <v>308</v>
      </c>
      <c r="AF1" s="291" t="s">
        <v>398</v>
      </c>
      <c r="AG1" s="291" t="s">
        <v>311</v>
      </c>
      <c r="AH1" s="291" t="s">
        <v>176</v>
      </c>
      <c r="AI1" s="291" t="s">
        <v>312</v>
      </c>
      <c r="AJ1" s="291" t="s">
        <v>313</v>
      </c>
      <c r="AK1" s="308"/>
      <c r="AL1" s="247" t="s">
        <v>3</v>
      </c>
      <c r="AM1" s="247" t="s">
        <v>4</v>
      </c>
      <c r="AN1" s="247" t="s">
        <v>619</v>
      </c>
      <c r="AO1" s="247" t="s">
        <v>620</v>
      </c>
      <c r="AQ1" s="312" t="s">
        <v>623</v>
      </c>
      <c r="AR1" s="311" t="s">
        <v>630</v>
      </c>
      <c r="AS1" s="247" t="s">
        <v>487</v>
      </c>
      <c r="AT1" s="311" t="s">
        <v>626</v>
      </c>
      <c r="AU1" s="247" t="s">
        <v>488</v>
      </c>
      <c r="AV1" s="311" t="s">
        <v>627</v>
      </c>
      <c r="AW1" s="247" t="s">
        <v>621</v>
      </c>
      <c r="AX1" s="311" t="s">
        <v>628</v>
      </c>
      <c r="AY1" s="247" t="s">
        <v>622</v>
      </c>
      <c r="AZ1" s="311" t="s">
        <v>629</v>
      </c>
      <c r="BB1" s="247" t="s">
        <v>623</v>
      </c>
      <c r="BC1" s="311" t="s">
        <v>630</v>
      </c>
      <c r="BD1" s="247" t="s">
        <v>624</v>
      </c>
      <c r="BE1" s="311" t="s">
        <v>634</v>
      </c>
      <c r="BF1" s="247" t="s">
        <v>625</v>
      </c>
      <c r="BG1" s="311" t="s">
        <v>635</v>
      </c>
    </row>
    <row r="2" spans="1:59" x14ac:dyDescent="0.25">
      <c r="A2" s="288" t="s">
        <v>5</v>
      </c>
      <c r="B2" s="286" t="s">
        <v>5</v>
      </c>
      <c r="C2" s="286" t="s">
        <v>517</v>
      </c>
      <c r="D2" s="209">
        <v>763366</v>
      </c>
      <c r="E2" s="89">
        <v>458019.6</v>
      </c>
      <c r="F2" s="230">
        <v>458019.6</v>
      </c>
      <c r="G2" s="230">
        <v>0</v>
      </c>
      <c r="H2" s="230">
        <v>0</v>
      </c>
      <c r="I2" s="230">
        <v>0</v>
      </c>
      <c r="J2" s="251">
        <v>4</v>
      </c>
      <c r="K2" s="294"/>
      <c r="L2" s="296"/>
      <c r="M2" s="297"/>
      <c r="N2" s="298"/>
      <c r="O2" s="299">
        <v>458019.6</v>
      </c>
      <c r="P2" s="300"/>
      <c r="AD2" t="s">
        <v>5</v>
      </c>
      <c r="AE2" s="230">
        <v>763366</v>
      </c>
      <c r="AF2" s="230">
        <v>458019.6</v>
      </c>
      <c r="AG2" s="230">
        <v>455306.6</v>
      </c>
      <c r="AH2" s="230">
        <v>0</v>
      </c>
      <c r="AI2" s="230">
        <v>2713</v>
      </c>
      <c r="AJ2" s="230">
        <v>0</v>
      </c>
      <c r="AK2" s="309"/>
      <c r="AL2" s="230">
        <f>Table19[[#This Row],[Overall Intersectorial Final PiN]]*Table21[[#This Row],[Male%]]</f>
        <v>210689.016</v>
      </c>
      <c r="AM2" s="307">
        <f>Table19[[#This Row],[Overall Intersectorial Final PiN]]-Table21[[#This Row],[Male]]</f>
        <v>247330.58399999997</v>
      </c>
      <c r="AN2">
        <v>0.46</v>
      </c>
      <c r="AO2">
        <v>0.54</v>
      </c>
      <c r="AQ2" s="313">
        <f>Table19[[#This Row],[Overall Intersectorial Final PiN]]*AR2</f>
        <v>155726.66399999999</v>
      </c>
      <c r="AR2" s="306">
        <v>0.34</v>
      </c>
      <c r="AS2" s="307">
        <f>AT2*AQ2</f>
        <v>56061.599039999994</v>
      </c>
      <c r="AT2">
        <v>0.36</v>
      </c>
      <c r="AU2" s="307">
        <f>AV2*AQ2</f>
        <v>51389.799119999996</v>
      </c>
      <c r="AV2">
        <v>0.33</v>
      </c>
      <c r="AW2" s="307">
        <f>AX2*BD2</f>
        <v>115878.95880000001</v>
      </c>
      <c r="AX2">
        <v>0.46</v>
      </c>
      <c r="AY2" s="307">
        <f>AZ2*BD2</f>
        <v>136031.82120000001</v>
      </c>
      <c r="AZ2">
        <v>0.54</v>
      </c>
      <c r="BB2" s="307">
        <f>BC2*Table19[[#This Row],[Overall Intersectorial Final PiN]]</f>
        <v>187788.03599999999</v>
      </c>
      <c r="BC2">
        <v>0.41</v>
      </c>
      <c r="BD2" s="307">
        <f>BE2*Table19[[#This Row],[Overall Intersectorial Final PiN]]</f>
        <v>251910.78</v>
      </c>
      <c r="BE2">
        <v>0.55000000000000004</v>
      </c>
      <c r="BF2" s="307">
        <f>BG2*Table19[[#This Row],[Overall Intersectorial Final PiN]]</f>
        <v>18320.784</v>
      </c>
      <c r="BG2">
        <v>0.04</v>
      </c>
    </row>
    <row r="3" spans="1:59" x14ac:dyDescent="0.25">
      <c r="A3" s="288" t="s">
        <v>104</v>
      </c>
      <c r="B3" s="286" t="s">
        <v>104</v>
      </c>
      <c r="C3" s="286" t="s">
        <v>517</v>
      </c>
      <c r="D3" s="209">
        <v>1035.4577840894306</v>
      </c>
      <c r="E3" s="89">
        <v>451.94184201219275</v>
      </c>
      <c r="F3" s="230">
        <v>451.94184201219275</v>
      </c>
      <c r="G3" s="230">
        <v>0</v>
      </c>
      <c r="H3" s="230">
        <v>0</v>
      </c>
      <c r="I3" s="230">
        <v>0</v>
      </c>
      <c r="J3" s="251">
        <v>3</v>
      </c>
      <c r="K3" s="294"/>
      <c r="L3" s="296"/>
      <c r="M3" s="297"/>
      <c r="N3" s="298">
        <v>451.94184201219275</v>
      </c>
      <c r="O3" s="299"/>
      <c r="P3" s="300"/>
      <c r="AD3" t="s">
        <v>84</v>
      </c>
      <c r="AE3" s="230">
        <v>2811128</v>
      </c>
      <c r="AF3" s="230">
        <v>1241048.3514572224</v>
      </c>
      <c r="AG3" s="230">
        <v>1234573.3514572224</v>
      </c>
      <c r="AH3" s="230">
        <v>0</v>
      </c>
      <c r="AI3" s="230">
        <v>5646</v>
      </c>
      <c r="AJ3" s="230">
        <v>829</v>
      </c>
      <c r="AK3" s="309"/>
      <c r="AL3" s="307">
        <f>Table19[[#This Row],[Overall Intersectorial Final PiN]]*Table21[[#This Row],[Male%]]</f>
        <v>595703.20869946666</v>
      </c>
      <c r="AM3" s="307">
        <f>Table19[[#This Row],[Overall Intersectorial Final PiN]]-Table21[[#This Row],[Male]]</f>
        <v>645345.1427577557</v>
      </c>
      <c r="AN3">
        <v>0.48</v>
      </c>
      <c r="AO3">
        <v>0.52</v>
      </c>
      <c r="AQ3" s="313">
        <f>Table19[[#This Row],[Overall Intersectorial Final PiN]]*AR3</f>
        <v>421956.43949545565</v>
      </c>
      <c r="AR3" s="306">
        <v>0.34</v>
      </c>
      <c r="AS3" s="307">
        <f t="shared" ref="AS3:AS11" si="0">AT3*AQ3</f>
        <v>147684.75382340947</v>
      </c>
      <c r="AT3">
        <v>0.35</v>
      </c>
      <c r="AU3" s="307">
        <f t="shared" ref="AU3:AU11" si="1">AV3*AQ3</f>
        <v>143465.18942845493</v>
      </c>
      <c r="AV3">
        <v>0.34</v>
      </c>
      <c r="AW3" s="307">
        <f t="shared" ref="AW3:AW11" si="2">AX3*BD3</f>
        <v>313985.23291867733</v>
      </c>
      <c r="AX3">
        <v>0.46</v>
      </c>
      <c r="AY3" s="307">
        <f t="shared" ref="AY3:AY11" si="3">AZ3*BD3</f>
        <v>368591.3603827951</v>
      </c>
      <c r="AZ3">
        <v>0.54</v>
      </c>
      <c r="BB3" s="307">
        <f>BC3*Table19[[#This Row],[Overall Intersectorial Final PiN]]</f>
        <v>508829.82409746113</v>
      </c>
      <c r="BC3">
        <v>0.41</v>
      </c>
      <c r="BD3" s="307">
        <f>BE3*Table19[[#This Row],[Overall Intersectorial Final PiN]]</f>
        <v>682576.59330147237</v>
      </c>
      <c r="BE3">
        <v>0.55000000000000004</v>
      </c>
      <c r="BF3" s="307">
        <f>BG3*Table19[[#This Row],[Overall Intersectorial Final PiN]]</f>
        <v>49641.934058288898</v>
      </c>
      <c r="BG3">
        <v>0.04</v>
      </c>
    </row>
    <row r="4" spans="1:59" x14ac:dyDescent="0.25">
      <c r="A4" s="288" t="s">
        <v>84</v>
      </c>
      <c r="B4" s="286" t="s">
        <v>85</v>
      </c>
      <c r="C4" s="286" t="s">
        <v>517</v>
      </c>
      <c r="D4" s="209">
        <v>472473.17431040556</v>
      </c>
      <c r="E4" s="89">
        <v>206218.35093641083</v>
      </c>
      <c r="F4" s="230">
        <v>206218.35093641083</v>
      </c>
      <c r="G4" s="230">
        <v>0</v>
      </c>
      <c r="H4" s="230">
        <v>0</v>
      </c>
      <c r="I4" s="230">
        <v>0</v>
      </c>
      <c r="J4" s="251">
        <v>3</v>
      </c>
      <c r="K4" s="294"/>
      <c r="L4" s="296"/>
      <c r="M4" s="297"/>
      <c r="N4" s="298">
        <v>206218.35093641083</v>
      </c>
      <c r="O4" s="299"/>
      <c r="P4" s="300"/>
      <c r="AD4" t="s">
        <v>6</v>
      </c>
      <c r="AE4" s="230">
        <v>2047715</v>
      </c>
      <c r="AF4" s="230">
        <v>968607.85884086648</v>
      </c>
      <c r="AG4" s="230">
        <v>928973.85884086648</v>
      </c>
      <c r="AH4" s="230">
        <v>24007</v>
      </c>
      <c r="AI4" s="230">
        <v>1051</v>
      </c>
      <c r="AJ4" s="230">
        <v>14576</v>
      </c>
      <c r="AK4" s="309"/>
      <c r="AL4" s="307">
        <f>Table19[[#This Row],[Overall Intersectorial Final PiN]]*Table21[[#This Row],[Male%]]</f>
        <v>455245.69365520723</v>
      </c>
      <c r="AM4" s="307">
        <f>Table19[[#This Row],[Overall Intersectorial Final PiN]]-Table21[[#This Row],[Male]]</f>
        <v>513362.16518565925</v>
      </c>
      <c r="AN4">
        <v>0.47</v>
      </c>
      <c r="AO4">
        <v>0.53</v>
      </c>
      <c r="AQ4" s="313">
        <f>Table19[[#This Row],[Overall Intersectorial Final PiN]]*AR4</f>
        <v>426187.45788998128</v>
      </c>
      <c r="AR4" s="306">
        <v>0.44</v>
      </c>
      <c r="AS4" s="307">
        <f t="shared" si="0"/>
        <v>196046.23062939139</v>
      </c>
      <c r="AT4">
        <v>0.46</v>
      </c>
      <c r="AU4" s="307">
        <f t="shared" si="1"/>
        <v>178998.73231379213</v>
      </c>
      <c r="AV4">
        <v>0.42</v>
      </c>
      <c r="AW4" s="307">
        <f t="shared" si="2"/>
        <v>245057.78828673926</v>
      </c>
      <c r="AX4">
        <v>0.46</v>
      </c>
      <c r="AY4" s="307">
        <f t="shared" si="3"/>
        <v>287676.53407573741</v>
      </c>
      <c r="AZ4">
        <v>0.54</v>
      </c>
      <c r="BB4" s="307">
        <f>BC4*Table19[[#This Row],[Overall Intersectorial Final PiN]]</f>
        <v>397129.22212475521</v>
      </c>
      <c r="BC4">
        <v>0.41</v>
      </c>
      <c r="BD4" s="307">
        <f>BE4*Table19[[#This Row],[Overall Intersectorial Final PiN]]</f>
        <v>532734.32236247661</v>
      </c>
      <c r="BE4">
        <v>0.55000000000000004</v>
      </c>
      <c r="BF4" s="307">
        <f>BG4*Table19[[#This Row],[Overall Intersectorial Final PiN]]</f>
        <v>38744.314353634662</v>
      </c>
      <c r="BG4">
        <v>0.04</v>
      </c>
    </row>
    <row r="5" spans="1:59" x14ac:dyDescent="0.25">
      <c r="A5" s="288" t="s">
        <v>84</v>
      </c>
      <c r="B5" s="286" t="s">
        <v>86</v>
      </c>
      <c r="C5" s="286" t="s">
        <v>517</v>
      </c>
      <c r="D5" s="209">
        <v>221727.67267225965</v>
      </c>
      <c r="E5" s="89">
        <v>110863.83633612983</v>
      </c>
      <c r="F5" s="230">
        <v>110863.83633612983</v>
      </c>
      <c r="G5" s="230">
        <v>0</v>
      </c>
      <c r="H5" s="230">
        <v>0</v>
      </c>
      <c r="I5" s="230">
        <v>0</v>
      </c>
      <c r="J5" s="251">
        <v>4</v>
      </c>
      <c r="K5" s="294"/>
      <c r="L5" s="296"/>
      <c r="M5" s="297"/>
      <c r="N5" s="298"/>
      <c r="O5" s="299">
        <v>110863.83633612983</v>
      </c>
      <c r="P5" s="300"/>
      <c r="AD5" t="s">
        <v>15</v>
      </c>
      <c r="AE5" s="230">
        <v>1465496</v>
      </c>
      <c r="AF5" s="230">
        <v>521401.74647240742</v>
      </c>
      <c r="AG5" s="230">
        <v>521176.74647240742</v>
      </c>
      <c r="AH5" s="230">
        <v>0</v>
      </c>
      <c r="AI5" s="230">
        <v>225</v>
      </c>
      <c r="AJ5" s="230">
        <v>0</v>
      </c>
      <c r="AK5" s="309"/>
      <c r="AL5" s="307">
        <f>Table19[[#This Row],[Overall Intersectorial Final PiN]]*Table21[[#This Row],[Male%]]</f>
        <v>255486.85577147963</v>
      </c>
      <c r="AM5" s="307">
        <f>Table19[[#This Row],[Overall Intersectorial Final PiN]]-Table21[[#This Row],[Male]]</f>
        <v>265914.89070092782</v>
      </c>
      <c r="AN5">
        <v>0.49</v>
      </c>
      <c r="AO5">
        <v>0.51</v>
      </c>
      <c r="AQ5" s="313">
        <f>Table19[[#This Row],[Overall Intersectorial Final PiN]]*AR5</f>
        <v>224202.75098313519</v>
      </c>
      <c r="AR5" s="306">
        <v>0.43</v>
      </c>
      <c r="AS5" s="307">
        <f t="shared" si="0"/>
        <v>98649.210432579479</v>
      </c>
      <c r="AT5">
        <v>0.44</v>
      </c>
      <c r="AU5" s="307">
        <f t="shared" si="1"/>
        <v>94165.155412916778</v>
      </c>
      <c r="AV5">
        <v>0.42</v>
      </c>
      <c r="AW5" s="307">
        <f t="shared" si="2"/>
        <v>131914.64185751911</v>
      </c>
      <c r="AX5">
        <v>0.46</v>
      </c>
      <c r="AY5" s="307">
        <f t="shared" si="3"/>
        <v>154856.31870230506</v>
      </c>
      <c r="AZ5">
        <v>0.54</v>
      </c>
      <c r="BB5" s="307">
        <f>BC5*Table19[[#This Row],[Overall Intersectorial Final PiN]]</f>
        <v>213774.71605368704</v>
      </c>
      <c r="BC5">
        <v>0.41</v>
      </c>
      <c r="BD5" s="307">
        <f>BE5*Table19[[#This Row],[Overall Intersectorial Final PiN]]</f>
        <v>286770.96055982413</v>
      </c>
      <c r="BE5">
        <v>0.55000000000000004</v>
      </c>
      <c r="BF5" s="307">
        <f>BG5*Table19[[#This Row],[Overall Intersectorial Final PiN]]</f>
        <v>20856.069858896299</v>
      </c>
      <c r="BG5">
        <v>0.04</v>
      </c>
    </row>
    <row r="6" spans="1:59" x14ac:dyDescent="0.25">
      <c r="A6" s="288" t="s">
        <v>84</v>
      </c>
      <c r="B6" s="286" t="s">
        <v>84</v>
      </c>
      <c r="C6" s="286" t="s">
        <v>517</v>
      </c>
      <c r="D6" s="209">
        <v>1966516.6605599653</v>
      </c>
      <c r="E6" s="89">
        <v>858317.13815613836</v>
      </c>
      <c r="F6" s="230">
        <v>857488.13815613836</v>
      </c>
      <c r="G6" s="230">
        <v>0</v>
      </c>
      <c r="H6" s="230">
        <v>0</v>
      </c>
      <c r="I6" s="230">
        <v>829</v>
      </c>
      <c r="J6" s="251">
        <v>3</v>
      </c>
      <c r="K6" s="294"/>
      <c r="L6" s="296"/>
      <c r="M6" s="297"/>
      <c r="N6" s="298">
        <v>858317.13815613836</v>
      </c>
      <c r="O6" s="299"/>
      <c r="P6" s="300"/>
      <c r="AD6" t="s">
        <v>25</v>
      </c>
      <c r="AE6" s="230">
        <v>1663852</v>
      </c>
      <c r="AF6" s="230">
        <v>566156.21917759278</v>
      </c>
      <c r="AG6" s="230">
        <v>565287.21917759278</v>
      </c>
      <c r="AH6" s="230">
        <v>0</v>
      </c>
      <c r="AI6" s="230">
        <v>869</v>
      </c>
      <c r="AJ6" s="230">
        <v>0</v>
      </c>
      <c r="AK6" s="309"/>
      <c r="AL6" s="307">
        <f>Table19[[#This Row],[Overall Intersectorial Final PiN]]*Table21[[#This Row],[Male%]]</f>
        <v>271754.98520524451</v>
      </c>
      <c r="AM6" s="307">
        <f>Table19[[#This Row],[Overall Intersectorial Final PiN]]-Table21[[#This Row],[Male]]</f>
        <v>294401.23397234827</v>
      </c>
      <c r="AN6">
        <v>0.48</v>
      </c>
      <c r="AO6">
        <v>0.52</v>
      </c>
      <c r="AQ6" s="313">
        <f>Table19[[#This Row],[Overall Intersectorial Final PiN]]*AR6</f>
        <v>237785.61205458897</v>
      </c>
      <c r="AR6" s="306">
        <v>0.42</v>
      </c>
      <c r="AS6" s="307">
        <f t="shared" si="0"/>
        <v>102247.81318347326</v>
      </c>
      <c r="AT6">
        <v>0.43</v>
      </c>
      <c r="AU6" s="307">
        <f t="shared" si="1"/>
        <v>95114.2448218356</v>
      </c>
      <c r="AV6">
        <v>0.4</v>
      </c>
      <c r="AW6" s="307">
        <f t="shared" si="2"/>
        <v>143237.52345193099</v>
      </c>
      <c r="AX6">
        <v>0.46</v>
      </c>
      <c r="AY6" s="307">
        <f t="shared" si="3"/>
        <v>168148.39709574508</v>
      </c>
      <c r="AZ6">
        <v>0.54</v>
      </c>
      <c r="BB6" s="307">
        <f>BC6*Table19[[#This Row],[Overall Intersectorial Final PiN]]</f>
        <v>232124.04986281303</v>
      </c>
      <c r="BC6">
        <v>0.41</v>
      </c>
      <c r="BD6" s="307">
        <f>BE6*Table19[[#This Row],[Overall Intersectorial Final PiN]]</f>
        <v>311385.92054767604</v>
      </c>
      <c r="BE6">
        <v>0.55000000000000004</v>
      </c>
      <c r="BF6" s="307">
        <f>BG6*Table19[[#This Row],[Overall Intersectorial Final PiN]]</f>
        <v>22646.248767103712</v>
      </c>
      <c r="BG6">
        <v>0.04</v>
      </c>
    </row>
    <row r="7" spans="1:59" x14ac:dyDescent="0.25">
      <c r="A7" s="288" t="s">
        <v>84</v>
      </c>
      <c r="B7" s="286" t="s">
        <v>87</v>
      </c>
      <c r="C7" s="286" t="s">
        <v>517</v>
      </c>
      <c r="D7" s="209">
        <v>150410.49245736958</v>
      </c>
      <c r="E7" s="89">
        <v>65649.026028543129</v>
      </c>
      <c r="F7" s="230">
        <v>65649.026028543129</v>
      </c>
      <c r="G7" s="230">
        <v>0</v>
      </c>
      <c r="H7" s="230">
        <v>0</v>
      </c>
      <c r="I7" s="230">
        <v>0</v>
      </c>
      <c r="J7" s="251">
        <v>3</v>
      </c>
      <c r="K7" s="294"/>
      <c r="L7" s="296"/>
      <c r="M7" s="297"/>
      <c r="N7" s="298">
        <v>65649.026028543129</v>
      </c>
      <c r="O7" s="299"/>
      <c r="P7" s="300"/>
      <c r="AD7" t="s">
        <v>35</v>
      </c>
      <c r="AE7" s="230">
        <v>1879255.9999999998</v>
      </c>
      <c r="AF7" s="230">
        <v>709810.63352114614</v>
      </c>
      <c r="AG7" s="230">
        <v>707894.63352114614</v>
      </c>
      <c r="AH7" s="230">
        <v>0</v>
      </c>
      <c r="AI7" s="230">
        <v>1916</v>
      </c>
      <c r="AJ7" s="230">
        <v>0</v>
      </c>
      <c r="AK7" s="309"/>
      <c r="AL7" s="307">
        <f>Table19[[#This Row],[Overall Intersectorial Final PiN]]*Table21[[#This Row],[Male%]]</f>
        <v>354905.31676057307</v>
      </c>
      <c r="AM7" s="307">
        <f>Table19[[#This Row],[Overall Intersectorial Final PiN]]-Table21[[#This Row],[Male]]</f>
        <v>354905.31676057307</v>
      </c>
      <c r="AN7">
        <v>0.5</v>
      </c>
      <c r="AO7">
        <v>0.5</v>
      </c>
      <c r="AQ7" s="313">
        <f>Table19[[#This Row],[Overall Intersectorial Final PiN]]*AR7</f>
        <v>291022.35974366992</v>
      </c>
      <c r="AR7" s="306">
        <v>0.41</v>
      </c>
      <c r="AS7" s="307">
        <f t="shared" si="0"/>
        <v>119319.16749490466</v>
      </c>
      <c r="AT7">
        <v>0.41</v>
      </c>
      <c r="AU7" s="307">
        <f t="shared" si="1"/>
        <v>119319.16749490466</v>
      </c>
      <c r="AV7">
        <v>0.41</v>
      </c>
      <c r="AW7" s="307">
        <f t="shared" si="2"/>
        <v>179582.09028084998</v>
      </c>
      <c r="AX7">
        <v>0.46</v>
      </c>
      <c r="AY7" s="307">
        <f t="shared" si="3"/>
        <v>210813.75815578044</v>
      </c>
      <c r="AZ7">
        <v>0.54</v>
      </c>
      <c r="BB7" s="307">
        <f>BC7*Table19[[#This Row],[Overall Intersectorial Final PiN]]</f>
        <v>291022.35974366992</v>
      </c>
      <c r="BC7">
        <v>0.41</v>
      </c>
      <c r="BD7" s="307">
        <f>BE7*Table19[[#This Row],[Overall Intersectorial Final PiN]]</f>
        <v>390395.84843663039</v>
      </c>
      <c r="BE7">
        <v>0.55000000000000004</v>
      </c>
      <c r="BF7" s="307">
        <f>BG7*Table19[[#This Row],[Overall Intersectorial Final PiN]]</f>
        <v>28392.425340845846</v>
      </c>
      <c r="BG7">
        <v>0.04</v>
      </c>
    </row>
    <row r="8" spans="1:59" x14ac:dyDescent="0.25">
      <c r="A8" s="288" t="s">
        <v>6</v>
      </c>
      <c r="B8" s="286" t="s">
        <v>7</v>
      </c>
      <c r="C8" s="286" t="s">
        <v>518</v>
      </c>
      <c r="D8" s="209">
        <v>287264.58794954978</v>
      </c>
      <c r="E8" s="89">
        <v>147902</v>
      </c>
      <c r="F8" s="230">
        <v>147902</v>
      </c>
      <c r="G8" s="230">
        <v>0</v>
      </c>
      <c r="H8" s="230">
        <v>0</v>
      </c>
      <c r="I8" s="230">
        <v>0</v>
      </c>
      <c r="J8" s="251">
        <v>4</v>
      </c>
      <c r="K8" s="294"/>
      <c r="L8" s="296"/>
      <c r="M8" s="297"/>
      <c r="N8" s="298"/>
      <c r="O8" s="299">
        <v>147902</v>
      </c>
      <c r="P8" s="300"/>
      <c r="AD8" t="s">
        <v>76</v>
      </c>
      <c r="AE8" s="230">
        <v>1801192.9999999998</v>
      </c>
      <c r="AF8" s="230">
        <v>756792.60523010651</v>
      </c>
      <c r="AG8" s="230">
        <v>745414.60523010651</v>
      </c>
      <c r="AH8" s="230">
        <v>9549</v>
      </c>
      <c r="AI8" s="230">
        <v>1829</v>
      </c>
      <c r="AJ8" s="230">
        <v>0</v>
      </c>
      <c r="AK8" s="309"/>
      <c r="AL8" s="307">
        <f>Table19[[#This Row],[Overall Intersectorial Final PiN]]*Table21[[#This Row],[Male%]]</f>
        <v>355692.52445815003</v>
      </c>
      <c r="AM8" s="307">
        <f>Table19[[#This Row],[Overall Intersectorial Final PiN]]-Table21[[#This Row],[Male]]</f>
        <v>401100.08077195648</v>
      </c>
      <c r="AN8">
        <v>0.47</v>
      </c>
      <c r="AO8">
        <v>0.53</v>
      </c>
      <c r="AQ8" s="313">
        <f>Table19[[#This Row],[Overall Intersectorial Final PiN]]*AR8</f>
        <v>340556.67235354794</v>
      </c>
      <c r="AR8" s="306">
        <v>0.45</v>
      </c>
      <c r="AS8" s="307">
        <f t="shared" si="0"/>
        <v>163467.20272970301</v>
      </c>
      <c r="AT8">
        <v>0.48</v>
      </c>
      <c r="AU8" s="307">
        <f t="shared" si="1"/>
        <v>143033.80238849012</v>
      </c>
      <c r="AV8">
        <v>0.42</v>
      </c>
      <c r="AW8" s="307">
        <f t="shared" si="2"/>
        <v>191468.52912321698</v>
      </c>
      <c r="AX8">
        <v>0.46</v>
      </c>
      <c r="AY8" s="307">
        <f t="shared" si="3"/>
        <v>224767.40375334167</v>
      </c>
      <c r="AZ8">
        <v>0.54</v>
      </c>
      <c r="BB8" s="307">
        <f>BC8*Table19[[#This Row],[Overall Intersectorial Final PiN]]</f>
        <v>310284.96814434364</v>
      </c>
      <c r="BC8">
        <v>0.41</v>
      </c>
      <c r="BD8" s="307">
        <f>BE8*Table19[[#This Row],[Overall Intersectorial Final PiN]]</f>
        <v>416235.93287655863</v>
      </c>
      <c r="BE8">
        <v>0.55000000000000004</v>
      </c>
      <c r="BF8" s="307">
        <f>BG8*Table19[[#This Row],[Overall Intersectorial Final PiN]]</f>
        <v>30271.704209204261</v>
      </c>
      <c r="BG8">
        <v>0.04</v>
      </c>
    </row>
    <row r="9" spans="1:59" x14ac:dyDescent="0.25">
      <c r="A9" s="288" t="s">
        <v>6</v>
      </c>
      <c r="B9" s="286" t="s">
        <v>8</v>
      </c>
      <c r="C9" s="286" t="s">
        <v>518</v>
      </c>
      <c r="D9" s="209">
        <v>157653.32196419462</v>
      </c>
      <c r="E9" s="89">
        <v>59033</v>
      </c>
      <c r="F9" s="230">
        <v>57433</v>
      </c>
      <c r="G9" s="230">
        <v>1600</v>
      </c>
      <c r="H9" s="230">
        <v>0</v>
      </c>
      <c r="I9" s="230">
        <v>0</v>
      </c>
      <c r="J9" s="251">
        <v>3</v>
      </c>
      <c r="K9" s="294"/>
      <c r="L9" s="296"/>
      <c r="M9" s="297"/>
      <c r="N9" s="298">
        <v>59033</v>
      </c>
      <c r="O9" s="299"/>
      <c r="P9" s="300"/>
      <c r="AD9" t="s">
        <v>47</v>
      </c>
      <c r="AE9" s="230">
        <v>905061.00000000012</v>
      </c>
      <c r="AF9" s="230">
        <v>486253.18079905136</v>
      </c>
      <c r="AG9" s="230">
        <v>484866.18079905136</v>
      </c>
      <c r="AH9" s="230">
        <v>0</v>
      </c>
      <c r="AI9" s="230">
        <v>1387</v>
      </c>
      <c r="AJ9" s="230">
        <v>0</v>
      </c>
      <c r="AK9" s="309"/>
      <c r="AL9" s="307">
        <f>Table19[[#This Row],[Overall Intersectorial Final PiN]]*Table21[[#This Row],[Male%]]</f>
        <v>233401.52678354466</v>
      </c>
      <c r="AM9" s="307">
        <f>Table19[[#This Row],[Overall Intersectorial Final PiN]]-Table21[[#This Row],[Male]]</f>
        <v>252851.65401550671</v>
      </c>
      <c r="AN9">
        <v>0.48</v>
      </c>
      <c r="AO9">
        <v>0.52</v>
      </c>
      <c r="AQ9" s="313">
        <f>Table19[[#This Row],[Overall Intersectorial Final PiN]]*AR9</f>
        <v>213951.39955158261</v>
      </c>
      <c r="AR9" s="306">
        <v>0.44</v>
      </c>
      <c r="AS9" s="307">
        <f t="shared" si="0"/>
        <v>98417.643793727999</v>
      </c>
      <c r="AT9">
        <v>0.46</v>
      </c>
      <c r="AU9" s="307">
        <f t="shared" si="1"/>
        <v>89859.587811664693</v>
      </c>
      <c r="AV9">
        <v>0.42</v>
      </c>
      <c r="AW9" s="307">
        <f t="shared" si="2"/>
        <v>123022.05474216001</v>
      </c>
      <c r="AX9">
        <v>0.46</v>
      </c>
      <c r="AY9" s="307">
        <f t="shared" si="3"/>
        <v>144417.19469731828</v>
      </c>
      <c r="AZ9">
        <v>0.54</v>
      </c>
      <c r="BB9" s="307">
        <f>BC9*Table19[[#This Row],[Overall Intersectorial Final PiN]]</f>
        <v>199363.80412761105</v>
      </c>
      <c r="BC9">
        <v>0.41</v>
      </c>
      <c r="BD9" s="307">
        <f>BE9*Table19[[#This Row],[Overall Intersectorial Final PiN]]</f>
        <v>267439.24943947827</v>
      </c>
      <c r="BE9">
        <v>0.55000000000000004</v>
      </c>
      <c r="BF9" s="307">
        <f>BG9*Table19[[#This Row],[Overall Intersectorial Final PiN]]</f>
        <v>19450.127231962055</v>
      </c>
      <c r="BG9">
        <v>0.04</v>
      </c>
    </row>
    <row r="10" spans="1:59" x14ac:dyDescent="0.25">
      <c r="A10" s="288" t="s">
        <v>6</v>
      </c>
      <c r="B10" s="286" t="s">
        <v>89</v>
      </c>
      <c r="C10" s="286" t="s">
        <v>518</v>
      </c>
      <c r="D10" s="209">
        <v>349142.40691493911</v>
      </c>
      <c r="E10" s="89">
        <v>147077</v>
      </c>
      <c r="F10" s="230">
        <v>123450</v>
      </c>
      <c r="G10" s="230">
        <v>8000</v>
      </c>
      <c r="H10" s="230">
        <v>1051</v>
      </c>
      <c r="I10" s="230">
        <v>14576</v>
      </c>
      <c r="J10" s="251">
        <v>3</v>
      </c>
      <c r="K10" s="294"/>
      <c r="L10" s="296"/>
      <c r="M10" s="297"/>
      <c r="N10" s="298">
        <v>147077</v>
      </c>
      <c r="O10" s="299"/>
      <c r="P10" s="300"/>
      <c r="AD10" t="s">
        <v>56</v>
      </c>
      <c r="AE10" s="230">
        <v>824463</v>
      </c>
      <c r="AF10" s="230">
        <v>332397.3322888629</v>
      </c>
      <c r="AG10" s="230">
        <v>329315.3322888629</v>
      </c>
      <c r="AH10" s="230">
        <v>0</v>
      </c>
      <c r="AI10" s="230">
        <v>3082</v>
      </c>
      <c r="AJ10" s="230">
        <v>0</v>
      </c>
      <c r="AK10" s="309"/>
      <c r="AL10" s="307">
        <f>Table19[[#This Row],[Overall Intersectorial Final PiN]]*Table21[[#This Row],[Male%]]</f>
        <v>159550.71949865419</v>
      </c>
      <c r="AM10" s="307">
        <f>Table19[[#This Row],[Overall Intersectorial Final PiN]]-Table21[[#This Row],[Male]]</f>
        <v>172846.61279020872</v>
      </c>
      <c r="AN10">
        <v>0.48</v>
      </c>
      <c r="AO10">
        <v>0.52</v>
      </c>
      <c r="AQ10" s="313">
        <f>Table19[[#This Row],[Overall Intersectorial Final PiN]]*AR10</f>
        <v>142930.85288421105</v>
      </c>
      <c r="AR10" s="306">
        <v>0.43</v>
      </c>
      <c r="AS10" s="307">
        <f t="shared" si="0"/>
        <v>65748.192326737088</v>
      </c>
      <c r="AT10">
        <v>0.46</v>
      </c>
      <c r="AU10" s="307">
        <f t="shared" si="1"/>
        <v>58601.649682526528</v>
      </c>
      <c r="AV10">
        <v>0.41</v>
      </c>
      <c r="AW10" s="307">
        <f t="shared" si="2"/>
        <v>84096.52506908233</v>
      </c>
      <c r="AX10">
        <v>0.46</v>
      </c>
      <c r="AY10" s="307">
        <f t="shared" si="3"/>
        <v>98722.007689792299</v>
      </c>
      <c r="AZ10">
        <v>0.54</v>
      </c>
      <c r="BB10" s="307">
        <f>BC10*Table19[[#This Row],[Overall Intersectorial Final PiN]]</f>
        <v>136282.90623843379</v>
      </c>
      <c r="BC10">
        <v>0.41</v>
      </c>
      <c r="BD10" s="307">
        <f>BE10*Table19[[#This Row],[Overall Intersectorial Final PiN]]</f>
        <v>182818.53275887461</v>
      </c>
      <c r="BE10">
        <v>0.55000000000000004</v>
      </c>
      <c r="BF10" s="307">
        <f>BG10*Table19[[#This Row],[Overall Intersectorial Final PiN]]</f>
        <v>13295.893291554516</v>
      </c>
      <c r="BG10">
        <v>0.04</v>
      </c>
    </row>
    <row r="11" spans="1:59" x14ac:dyDescent="0.25">
      <c r="A11" s="288" t="s">
        <v>6</v>
      </c>
      <c r="B11" s="286" t="s">
        <v>14</v>
      </c>
      <c r="C11" s="286" t="s">
        <v>517</v>
      </c>
      <c r="D11" s="209">
        <v>29549.190893125913</v>
      </c>
      <c r="E11" s="89">
        <v>16744.541506104684</v>
      </c>
      <c r="F11" s="230">
        <v>16744.541506104684</v>
      </c>
      <c r="G11" s="230">
        <v>0</v>
      </c>
      <c r="H11" s="230">
        <v>0</v>
      </c>
      <c r="I11" s="230">
        <v>0</v>
      </c>
      <c r="J11" s="251">
        <v>3</v>
      </c>
      <c r="K11" s="294"/>
      <c r="L11" s="296"/>
      <c r="M11" s="297"/>
      <c r="N11" s="298">
        <v>16744.541506104684</v>
      </c>
      <c r="O11" s="299"/>
      <c r="P11" s="300"/>
      <c r="AD11" t="s">
        <v>66</v>
      </c>
      <c r="AE11" s="230">
        <v>1991234</v>
      </c>
      <c r="AF11" s="230">
        <v>805106.36620829534</v>
      </c>
      <c r="AG11" s="230">
        <v>803360.36620829534</v>
      </c>
      <c r="AH11" s="230">
        <v>0</v>
      </c>
      <c r="AI11" s="230">
        <v>1746</v>
      </c>
      <c r="AJ11" s="230">
        <v>0</v>
      </c>
      <c r="AK11" s="309"/>
      <c r="AL11" s="307">
        <f>Table19[[#This Row],[Overall Intersectorial Final PiN]]*Table21[[#This Row],[Male%]]</f>
        <v>386451.05577998178</v>
      </c>
      <c r="AM11" s="307">
        <f>Table19[[#This Row],[Overall Intersectorial Final PiN]]-Table21[[#This Row],[Male]]</f>
        <v>418655.31042831356</v>
      </c>
      <c r="AN11">
        <v>0.48</v>
      </c>
      <c r="AO11">
        <v>0.52</v>
      </c>
      <c r="AQ11" s="313">
        <f>Table19[[#This Row],[Overall Intersectorial Final PiN]]*AR11</f>
        <v>346195.73746956699</v>
      </c>
      <c r="AR11" s="306">
        <v>0.43</v>
      </c>
      <c r="AS11" s="307">
        <f t="shared" si="0"/>
        <v>152326.12448660948</v>
      </c>
      <c r="AT11">
        <v>0.44</v>
      </c>
      <c r="AU11" s="307">
        <f t="shared" si="1"/>
        <v>141940.25236252244</v>
      </c>
      <c r="AV11">
        <v>0.41</v>
      </c>
      <c r="AW11" s="307">
        <f t="shared" si="2"/>
        <v>203691.91065069873</v>
      </c>
      <c r="AX11">
        <v>0.46</v>
      </c>
      <c r="AY11" s="307">
        <f t="shared" si="3"/>
        <v>239116.59076386376</v>
      </c>
      <c r="AZ11">
        <v>0.54</v>
      </c>
      <c r="BB11" s="307">
        <f>BC11*Table19[[#This Row],[Overall Intersectorial Final PiN]]</f>
        <v>330093.61014540109</v>
      </c>
      <c r="BC11">
        <v>0.41</v>
      </c>
      <c r="BD11" s="307">
        <f>BE11*Table19[[#This Row],[Overall Intersectorial Final PiN]]</f>
        <v>442808.50141456246</v>
      </c>
      <c r="BE11">
        <v>0.55000000000000004</v>
      </c>
      <c r="BF11" s="307">
        <f>BG11*Table19[[#This Row],[Overall Intersectorial Final PiN]]</f>
        <v>32204.254648331815</v>
      </c>
      <c r="BG11">
        <v>0.04</v>
      </c>
    </row>
    <row r="12" spans="1:59" x14ac:dyDescent="0.25">
      <c r="A12" s="288" t="s">
        <v>6</v>
      </c>
      <c r="B12" s="286" t="s">
        <v>9</v>
      </c>
      <c r="C12" s="286" t="s">
        <v>518</v>
      </c>
      <c r="D12" s="209">
        <v>318180.71516028431</v>
      </c>
      <c r="E12" s="89">
        <v>95454.214548085292</v>
      </c>
      <c r="F12" s="230">
        <v>95454.214548085292</v>
      </c>
      <c r="G12" s="230">
        <v>0</v>
      </c>
      <c r="H12" s="230">
        <v>0</v>
      </c>
      <c r="I12" s="230">
        <v>0</v>
      </c>
      <c r="J12" s="251">
        <v>3</v>
      </c>
      <c r="K12" s="294"/>
      <c r="L12" s="296"/>
      <c r="M12" s="297"/>
      <c r="N12" s="298">
        <v>95454.214548085292</v>
      </c>
      <c r="O12" s="299"/>
      <c r="P12" s="300"/>
      <c r="AE12" s="315"/>
      <c r="AF12" s="315">
        <f>SUM(Table19[Overall Intersectorial Final PiN])</f>
        <v>6845593.8939955514</v>
      </c>
      <c r="AG12" s="315">
        <f>SUM(Table19[Residents])</f>
        <v>6776168.8939955514</v>
      </c>
      <c r="AH12" s="315">
        <f>SUM(Table19[IDPs])</f>
        <v>33556</v>
      </c>
      <c r="AI12" s="315">
        <f>SUM(Table19[Returnee Migrants])</f>
        <v>20464</v>
      </c>
      <c r="AJ12" s="315">
        <f>SUM(Table19[Refugees])</f>
        <v>15405</v>
      </c>
      <c r="AK12" s="309"/>
      <c r="AL12" s="307">
        <f>SUM(Table21[Male])</f>
        <v>3278880.902612302</v>
      </c>
      <c r="AM12" s="307">
        <f>SUM(Table21[Female])</f>
        <v>3566712.9913832494</v>
      </c>
      <c r="AQ12" s="313"/>
      <c r="AS12" s="307">
        <f>BB12*AT12</f>
        <v>1206878.2035114155</v>
      </c>
      <c r="AT12" s="314">
        <v>0.43</v>
      </c>
      <c r="AU12" s="307">
        <f>AV12*BB12</f>
        <v>1599815.29302676</v>
      </c>
      <c r="AV12">
        <v>0.56999999999999995</v>
      </c>
      <c r="AW12" s="307">
        <f>SUM(AW2:AW11)</f>
        <v>1731935.2551808746</v>
      </c>
      <c r="AY12" s="307">
        <f>SUM(AY2:AY11)</f>
        <v>2033141.3865166791</v>
      </c>
      <c r="BB12" s="307">
        <f>BB14*BC2</f>
        <v>2806693.4965381757</v>
      </c>
      <c r="BD12" s="307">
        <f>BB14*BE2</f>
        <v>3765076.6416975535</v>
      </c>
      <c r="BF12" s="307">
        <f>BB14*BG2</f>
        <v>273823.75575982209</v>
      </c>
    </row>
    <row r="13" spans="1:59" x14ac:dyDescent="0.25">
      <c r="A13" s="288" t="s">
        <v>6</v>
      </c>
      <c r="B13" s="286" t="s">
        <v>88</v>
      </c>
      <c r="C13" s="286" t="s">
        <v>518</v>
      </c>
      <c r="D13" s="209">
        <v>306245.14129644696</v>
      </c>
      <c r="E13" s="89">
        <v>183747.08477786818</v>
      </c>
      <c r="F13" s="230">
        <v>183747.08477786818</v>
      </c>
      <c r="G13" s="230">
        <v>0</v>
      </c>
      <c r="H13" s="230">
        <v>0</v>
      </c>
      <c r="I13" s="230">
        <v>0</v>
      </c>
      <c r="J13" s="251">
        <v>4</v>
      </c>
      <c r="K13" s="294"/>
      <c r="L13" s="296"/>
      <c r="M13" s="297"/>
      <c r="N13" s="298"/>
      <c r="O13" s="299">
        <v>183747.08477786818</v>
      </c>
      <c r="P13" s="300"/>
      <c r="AL13" s="6">
        <f>Table21[[#Totals],[Male]]/Table19[[#Totals],[Overall Intersectorial Final PiN]]</f>
        <v>0.47897683581380629</v>
      </c>
      <c r="AM13" s="6">
        <f>Table21[[#Totals],[Female]]/Table19[[#Totals],[Overall Intersectorial Final PiN]]</f>
        <v>0.52102316418619377</v>
      </c>
    </row>
    <row r="14" spans="1:59" x14ac:dyDescent="0.25">
      <c r="A14" s="288" t="s">
        <v>6</v>
      </c>
      <c r="B14" s="286" t="s">
        <v>12</v>
      </c>
      <c r="C14" s="286" t="s">
        <v>517</v>
      </c>
      <c r="D14" s="209">
        <v>219201.67422739117</v>
      </c>
      <c r="E14" s="89">
        <v>136439.44555469762</v>
      </c>
      <c r="F14" s="230">
        <v>136439.44555469762</v>
      </c>
      <c r="G14" s="230">
        <v>0</v>
      </c>
      <c r="H14" s="230">
        <v>0</v>
      </c>
      <c r="I14" s="230">
        <v>0</v>
      </c>
      <c r="J14" s="251">
        <v>4</v>
      </c>
      <c r="K14" s="294"/>
      <c r="L14" s="296"/>
      <c r="M14" s="297"/>
      <c r="N14" s="298"/>
      <c r="O14" s="299">
        <v>136439.44555469762</v>
      </c>
      <c r="P14" s="300"/>
      <c r="BB14">
        <v>6845593.8939955514</v>
      </c>
    </row>
    <row r="15" spans="1:59" x14ac:dyDescent="0.25">
      <c r="A15" s="288" t="s">
        <v>6</v>
      </c>
      <c r="B15" s="286" t="s">
        <v>10</v>
      </c>
      <c r="C15" s="286" t="s">
        <v>518</v>
      </c>
      <c r="D15" s="209">
        <v>197150.77161324999</v>
      </c>
      <c r="E15" s="89">
        <v>118290.46296794999</v>
      </c>
      <c r="F15" s="230">
        <v>118290.46296794999</v>
      </c>
      <c r="G15" s="230">
        <v>0</v>
      </c>
      <c r="H15" s="230">
        <v>0</v>
      </c>
      <c r="I15" s="230">
        <v>0</v>
      </c>
      <c r="J15" s="251">
        <v>4</v>
      </c>
      <c r="K15" s="294"/>
      <c r="L15" s="296"/>
      <c r="M15" s="297"/>
      <c r="N15" s="298"/>
      <c r="O15" s="299">
        <v>118290.46296794999</v>
      </c>
      <c r="P15" s="300"/>
      <c r="AE15" s="307"/>
      <c r="AF15" s="307"/>
      <c r="AG15" s="307"/>
    </row>
    <row r="16" spans="1:59" x14ac:dyDescent="0.25">
      <c r="A16" s="288" t="s">
        <v>6</v>
      </c>
      <c r="B16" s="286" t="s">
        <v>11</v>
      </c>
      <c r="C16" s="286" t="s">
        <v>518</v>
      </c>
      <c r="D16" s="209">
        <v>147908.351173448</v>
      </c>
      <c r="E16" s="89">
        <v>48461</v>
      </c>
      <c r="F16" s="230">
        <v>48461</v>
      </c>
      <c r="G16" s="230">
        <v>0</v>
      </c>
      <c r="H16" s="230">
        <v>0</v>
      </c>
      <c r="I16" s="230">
        <v>0</v>
      </c>
      <c r="J16" s="251">
        <v>3</v>
      </c>
      <c r="K16" s="294"/>
      <c r="L16" s="296"/>
      <c r="M16" s="297"/>
      <c r="N16" s="298">
        <v>48461</v>
      </c>
      <c r="O16" s="299"/>
      <c r="P16" s="300"/>
    </row>
    <row r="17" spans="1:16" x14ac:dyDescent="0.25">
      <c r="A17" s="288" t="s">
        <v>6</v>
      </c>
      <c r="B17" s="286" t="s">
        <v>13</v>
      </c>
      <c r="C17" s="286" t="s">
        <v>517</v>
      </c>
      <c r="D17" s="209">
        <v>35418.838807370121</v>
      </c>
      <c r="E17" s="89">
        <v>15459.109486160636</v>
      </c>
      <c r="F17" s="230">
        <v>15459.109486160636</v>
      </c>
      <c r="G17" s="230">
        <v>0</v>
      </c>
      <c r="H17" s="230">
        <v>0</v>
      </c>
      <c r="I17" s="230">
        <v>0</v>
      </c>
      <c r="J17" s="251">
        <v>3</v>
      </c>
      <c r="K17" s="294"/>
      <c r="L17" s="296"/>
      <c r="M17" s="297"/>
      <c r="N17" s="298">
        <v>15459.109486160636</v>
      </c>
      <c r="O17" s="299"/>
      <c r="P17" s="300"/>
    </row>
    <row r="18" spans="1:16" x14ac:dyDescent="0.25">
      <c r="A18" s="288" t="s">
        <v>15</v>
      </c>
      <c r="B18" s="286" t="s">
        <v>90</v>
      </c>
      <c r="C18" s="286" t="s">
        <v>518</v>
      </c>
      <c r="D18" s="209">
        <v>159223.21835976816</v>
      </c>
      <c r="E18" s="89">
        <v>47933</v>
      </c>
      <c r="F18" s="230">
        <v>47708</v>
      </c>
      <c r="G18" s="230">
        <v>0</v>
      </c>
      <c r="H18" s="230">
        <v>225</v>
      </c>
      <c r="I18" s="230">
        <v>0</v>
      </c>
      <c r="J18" s="251">
        <v>4</v>
      </c>
      <c r="K18" s="294"/>
      <c r="L18" s="296"/>
      <c r="M18" s="297"/>
      <c r="N18" s="298"/>
      <c r="O18" s="299">
        <v>47933</v>
      </c>
      <c r="P18" s="300"/>
    </row>
    <row r="19" spans="1:16" x14ac:dyDescent="0.25">
      <c r="A19" s="288" t="s">
        <v>15</v>
      </c>
      <c r="B19" s="286" t="s">
        <v>24</v>
      </c>
      <c r="C19" s="286" t="s">
        <v>517</v>
      </c>
      <c r="D19" s="209">
        <v>55535.29465866102</v>
      </c>
      <c r="E19" s="89">
        <v>24239.253159699478</v>
      </c>
      <c r="F19" s="230">
        <v>24239.253159699478</v>
      </c>
      <c r="G19" s="230">
        <v>0</v>
      </c>
      <c r="H19" s="230">
        <v>0</v>
      </c>
      <c r="I19" s="230">
        <v>0</v>
      </c>
      <c r="J19" s="251">
        <v>3</v>
      </c>
      <c r="K19" s="294"/>
      <c r="L19" s="296"/>
      <c r="M19" s="297"/>
      <c r="N19" s="298">
        <v>24239.253159699478</v>
      </c>
      <c r="O19" s="299"/>
      <c r="P19" s="300"/>
    </row>
    <row r="20" spans="1:16" x14ac:dyDescent="0.25">
      <c r="A20" s="288" t="s">
        <v>15</v>
      </c>
      <c r="B20" s="286" t="s">
        <v>16</v>
      </c>
      <c r="C20" s="286" t="s">
        <v>518</v>
      </c>
      <c r="D20" s="209">
        <v>156135.87559087912</v>
      </c>
      <c r="E20" s="89">
        <v>46840.762677263738</v>
      </c>
      <c r="F20" s="230">
        <v>46840.762677263738</v>
      </c>
      <c r="G20" s="230">
        <v>0</v>
      </c>
      <c r="H20" s="230">
        <v>0</v>
      </c>
      <c r="I20" s="230">
        <v>0</v>
      </c>
      <c r="J20" s="251">
        <v>4</v>
      </c>
      <c r="K20" s="294"/>
      <c r="L20" s="296"/>
      <c r="M20" s="297"/>
      <c r="N20" s="298"/>
      <c r="O20" s="299">
        <v>46840.762677263738</v>
      </c>
      <c r="P20" s="300"/>
    </row>
    <row r="21" spans="1:16" x14ac:dyDescent="0.25">
      <c r="A21" s="288" t="s">
        <v>15</v>
      </c>
      <c r="B21" s="286" t="s">
        <v>17</v>
      </c>
      <c r="C21" s="286" t="s">
        <v>518</v>
      </c>
      <c r="D21" s="209">
        <v>157725.3230625065</v>
      </c>
      <c r="E21" s="89">
        <v>47317.596918751951</v>
      </c>
      <c r="F21" s="230">
        <v>47317.596918751951</v>
      </c>
      <c r="G21" s="230">
        <v>0</v>
      </c>
      <c r="H21" s="230">
        <v>0</v>
      </c>
      <c r="I21" s="230">
        <v>0</v>
      </c>
      <c r="J21" s="251">
        <v>3</v>
      </c>
      <c r="K21" s="294"/>
      <c r="L21" s="296"/>
      <c r="M21" s="297"/>
      <c r="N21" s="298">
        <v>47317.596918751951</v>
      </c>
      <c r="O21" s="299"/>
      <c r="P21" s="300"/>
    </row>
    <row r="22" spans="1:16" x14ac:dyDescent="0.25">
      <c r="A22" s="288" t="s">
        <v>15</v>
      </c>
      <c r="B22" s="286" t="s">
        <v>18</v>
      </c>
      <c r="C22" s="286" t="s">
        <v>518</v>
      </c>
      <c r="D22" s="209">
        <v>296845.20980113145</v>
      </c>
      <c r="E22" s="89">
        <v>89362</v>
      </c>
      <c r="F22" s="230">
        <v>89362</v>
      </c>
      <c r="G22" s="230">
        <v>0</v>
      </c>
      <c r="H22" s="230">
        <v>0</v>
      </c>
      <c r="I22" s="230">
        <v>0</v>
      </c>
      <c r="J22" s="251">
        <v>4</v>
      </c>
      <c r="K22" s="294"/>
      <c r="L22" s="296"/>
      <c r="M22" s="297"/>
      <c r="N22" s="298"/>
      <c r="O22" s="299">
        <v>89362</v>
      </c>
      <c r="P22" s="300"/>
    </row>
    <row r="23" spans="1:16" x14ac:dyDescent="0.25">
      <c r="A23" s="288" t="s">
        <v>15</v>
      </c>
      <c r="B23" s="286" t="s">
        <v>22</v>
      </c>
      <c r="C23" s="286" t="s">
        <v>518</v>
      </c>
      <c r="D23" s="209">
        <v>104750.94617013154</v>
      </c>
      <c r="E23" s="89">
        <v>45049</v>
      </c>
      <c r="F23" s="230">
        <v>45049</v>
      </c>
      <c r="G23" s="230">
        <v>0</v>
      </c>
      <c r="H23" s="230">
        <v>0</v>
      </c>
      <c r="I23" s="230">
        <v>0</v>
      </c>
      <c r="J23" s="251">
        <v>4</v>
      </c>
      <c r="K23" s="294"/>
      <c r="L23" s="296"/>
      <c r="M23" s="297"/>
      <c r="N23" s="298"/>
      <c r="O23" s="299">
        <v>45049</v>
      </c>
      <c r="P23" s="300"/>
    </row>
    <row r="24" spans="1:16" x14ac:dyDescent="0.25">
      <c r="A24" s="288" t="s">
        <v>15</v>
      </c>
      <c r="B24" s="286" t="s">
        <v>19</v>
      </c>
      <c r="C24" s="286" t="s">
        <v>518</v>
      </c>
      <c r="D24" s="209">
        <v>270492.17072154931</v>
      </c>
      <c r="E24" s="89">
        <v>135246.08536077465</v>
      </c>
      <c r="F24" s="230">
        <v>135246.08536077465</v>
      </c>
      <c r="G24" s="230">
        <v>0</v>
      </c>
      <c r="H24" s="230">
        <v>0</v>
      </c>
      <c r="I24" s="230">
        <v>0</v>
      </c>
      <c r="J24" s="251">
        <v>4</v>
      </c>
      <c r="K24" s="294"/>
      <c r="L24" s="296"/>
      <c r="M24" s="297"/>
      <c r="N24" s="298"/>
      <c r="O24" s="299">
        <v>135246.08536077465</v>
      </c>
      <c r="P24" s="300"/>
    </row>
    <row r="25" spans="1:16" x14ac:dyDescent="0.25">
      <c r="A25" s="288" t="s">
        <v>15</v>
      </c>
      <c r="B25" s="286" t="s">
        <v>23</v>
      </c>
      <c r="C25" s="286" t="s">
        <v>517</v>
      </c>
      <c r="D25" s="209">
        <v>13413.665102557872</v>
      </c>
      <c r="E25" s="89">
        <v>5854.6051879031438</v>
      </c>
      <c r="F25" s="230">
        <v>5854.6051879031438</v>
      </c>
      <c r="G25" s="230">
        <v>0</v>
      </c>
      <c r="H25" s="230">
        <v>0</v>
      </c>
      <c r="I25" s="230">
        <v>0</v>
      </c>
      <c r="J25" s="251">
        <v>3</v>
      </c>
      <c r="K25" s="294"/>
      <c r="L25" s="296"/>
      <c r="M25" s="297"/>
      <c r="N25" s="298">
        <v>5854.6051879031438</v>
      </c>
      <c r="O25" s="299"/>
      <c r="P25" s="300"/>
    </row>
    <row r="26" spans="1:16" x14ac:dyDescent="0.25">
      <c r="A26" s="288" t="s">
        <v>15</v>
      </c>
      <c r="B26" s="286" t="s">
        <v>20</v>
      </c>
      <c r="C26" s="286" t="s">
        <v>518</v>
      </c>
      <c r="D26" s="209">
        <v>94146.152639433596</v>
      </c>
      <c r="E26" s="89">
        <v>32391</v>
      </c>
      <c r="F26" s="230">
        <v>32391</v>
      </c>
      <c r="G26" s="230">
        <v>0</v>
      </c>
      <c r="H26" s="230">
        <v>0</v>
      </c>
      <c r="I26" s="230">
        <v>0</v>
      </c>
      <c r="J26" s="251">
        <v>3</v>
      </c>
      <c r="K26" s="294"/>
      <c r="L26" s="296"/>
      <c r="M26" s="297"/>
      <c r="N26" s="298">
        <v>32391</v>
      </c>
      <c r="O26" s="299"/>
      <c r="P26" s="300"/>
    </row>
    <row r="27" spans="1:16" x14ac:dyDescent="0.25">
      <c r="A27" s="288" t="s">
        <v>15</v>
      </c>
      <c r="B27" s="286" t="s">
        <v>21</v>
      </c>
      <c r="C27" s="286" t="s">
        <v>518</v>
      </c>
      <c r="D27" s="209">
        <v>157228.14389338146</v>
      </c>
      <c r="E27" s="89">
        <v>47168.443168014441</v>
      </c>
      <c r="F27" s="230">
        <v>47168.443168014441</v>
      </c>
      <c r="G27" s="230">
        <v>0</v>
      </c>
      <c r="H27" s="230">
        <v>0</v>
      </c>
      <c r="I27" s="230">
        <v>0</v>
      </c>
      <c r="J27" s="251">
        <v>3</v>
      </c>
      <c r="K27" s="294"/>
      <c r="L27" s="296"/>
      <c r="M27" s="297"/>
      <c r="N27" s="298">
        <v>47168.443168014441</v>
      </c>
      <c r="O27" s="299"/>
      <c r="P27" s="300"/>
    </row>
    <row r="28" spans="1:16" x14ac:dyDescent="0.25">
      <c r="A28" s="288" t="s">
        <v>25</v>
      </c>
      <c r="B28" s="286" t="s">
        <v>26</v>
      </c>
      <c r="C28" s="286" t="s">
        <v>518</v>
      </c>
      <c r="D28" s="209">
        <v>148637.05770676341</v>
      </c>
      <c r="E28" s="89">
        <v>44591.117312029026</v>
      </c>
      <c r="F28" s="230">
        <v>44591.117312029026</v>
      </c>
      <c r="G28" s="230">
        <v>0</v>
      </c>
      <c r="H28" s="230">
        <v>0</v>
      </c>
      <c r="I28" s="230">
        <v>0</v>
      </c>
      <c r="J28" s="251">
        <v>3</v>
      </c>
      <c r="K28" s="294"/>
      <c r="L28" s="296"/>
      <c r="M28" s="297"/>
      <c r="N28" s="298">
        <v>44591.117312029026</v>
      </c>
      <c r="O28" s="299"/>
      <c r="P28" s="300"/>
    </row>
    <row r="29" spans="1:16" x14ac:dyDescent="0.25">
      <c r="A29" s="288" t="s">
        <v>25</v>
      </c>
      <c r="B29" s="286" t="s">
        <v>27</v>
      </c>
      <c r="C29" s="286" t="s">
        <v>518</v>
      </c>
      <c r="D29" s="209">
        <v>278332.78431174275</v>
      </c>
      <c r="E29" s="89">
        <v>83499.835293522818</v>
      </c>
      <c r="F29" s="230">
        <v>83499.835293522818</v>
      </c>
      <c r="G29" s="230">
        <v>0</v>
      </c>
      <c r="H29" s="230">
        <v>0</v>
      </c>
      <c r="I29" s="230">
        <v>0</v>
      </c>
      <c r="J29" s="251">
        <v>4</v>
      </c>
      <c r="K29" s="294"/>
      <c r="L29" s="296"/>
      <c r="M29" s="297"/>
      <c r="N29" s="298"/>
      <c r="O29" s="299">
        <v>83499.835293522818</v>
      </c>
      <c r="P29" s="300"/>
    </row>
    <row r="30" spans="1:16" x14ac:dyDescent="0.25">
      <c r="A30" s="288" t="s">
        <v>25</v>
      </c>
      <c r="B30" s="286" t="s">
        <v>28</v>
      </c>
      <c r="C30" s="286" t="s">
        <v>518</v>
      </c>
      <c r="D30" s="209">
        <v>87794.943872471573</v>
      </c>
      <c r="E30" s="89">
        <v>15523</v>
      </c>
      <c r="F30" s="230">
        <v>15523</v>
      </c>
      <c r="G30" s="230">
        <v>0</v>
      </c>
      <c r="H30" s="230">
        <v>0</v>
      </c>
      <c r="I30" s="230">
        <v>0</v>
      </c>
      <c r="J30" s="251">
        <v>3</v>
      </c>
      <c r="K30" s="294"/>
      <c r="L30" s="296"/>
      <c r="M30" s="297"/>
      <c r="N30" s="298">
        <v>15523</v>
      </c>
      <c r="O30" s="299"/>
      <c r="P30" s="300"/>
    </row>
    <row r="31" spans="1:16" x14ac:dyDescent="0.25">
      <c r="A31" s="288" t="s">
        <v>25</v>
      </c>
      <c r="B31" s="286" t="s">
        <v>102</v>
      </c>
      <c r="C31" s="286" t="s">
        <v>518</v>
      </c>
      <c r="D31" s="209">
        <v>144722.854088055</v>
      </c>
      <c r="E31" s="89">
        <v>25589</v>
      </c>
      <c r="F31" s="230">
        <v>25589</v>
      </c>
      <c r="G31" s="230">
        <v>0</v>
      </c>
      <c r="H31" s="230">
        <v>0</v>
      </c>
      <c r="I31" s="230">
        <v>0</v>
      </c>
      <c r="J31" s="251">
        <v>3</v>
      </c>
      <c r="K31" s="294"/>
      <c r="L31" s="296"/>
      <c r="M31" s="297"/>
      <c r="N31" s="298">
        <v>25589</v>
      </c>
      <c r="O31" s="299"/>
      <c r="P31" s="300"/>
    </row>
    <row r="32" spans="1:16" x14ac:dyDescent="0.25">
      <c r="A32" s="288" t="s">
        <v>25</v>
      </c>
      <c r="B32" s="286" t="s">
        <v>33</v>
      </c>
      <c r="C32" s="286" t="s">
        <v>517</v>
      </c>
      <c r="D32" s="209">
        <v>76698.102387068706</v>
      </c>
      <c r="E32" s="89">
        <v>33476.093573562634</v>
      </c>
      <c r="F32" s="230">
        <v>33476.093573562634</v>
      </c>
      <c r="G32" s="230">
        <v>0</v>
      </c>
      <c r="H32" s="230">
        <v>0</v>
      </c>
      <c r="I32" s="230">
        <v>0</v>
      </c>
      <c r="J32" s="251">
        <v>3</v>
      </c>
      <c r="K32" s="294"/>
      <c r="L32" s="296"/>
      <c r="M32" s="297"/>
      <c r="N32" s="298">
        <v>33476.093573562634</v>
      </c>
      <c r="O32" s="299"/>
      <c r="P32" s="300"/>
    </row>
    <row r="33" spans="1:16" x14ac:dyDescent="0.25">
      <c r="A33" s="288" t="s">
        <v>25</v>
      </c>
      <c r="B33" s="286" t="s">
        <v>29</v>
      </c>
      <c r="C33" s="286" t="s">
        <v>518</v>
      </c>
      <c r="D33" s="209">
        <v>164846.85859675604</v>
      </c>
      <c r="E33" s="89">
        <v>65582</v>
      </c>
      <c r="F33" s="230">
        <v>65582</v>
      </c>
      <c r="G33" s="230">
        <v>0</v>
      </c>
      <c r="H33" s="230">
        <v>0</v>
      </c>
      <c r="I33" s="230">
        <v>0</v>
      </c>
      <c r="J33" s="251">
        <v>3</v>
      </c>
      <c r="K33" s="294"/>
      <c r="L33" s="296"/>
      <c r="M33" s="297"/>
      <c r="N33" s="298">
        <v>65582</v>
      </c>
      <c r="O33" s="299"/>
      <c r="P33" s="300"/>
    </row>
    <row r="34" spans="1:16" x14ac:dyDescent="0.25">
      <c r="A34" s="288" t="s">
        <v>25</v>
      </c>
      <c r="B34" s="286" t="s">
        <v>30</v>
      </c>
      <c r="C34" s="286" t="s">
        <v>518</v>
      </c>
      <c r="D34" s="209">
        <v>246935.032149031</v>
      </c>
      <c r="E34" s="89">
        <v>123467.5160745155</v>
      </c>
      <c r="F34" s="230">
        <v>123467.5160745155</v>
      </c>
      <c r="G34" s="230">
        <v>0</v>
      </c>
      <c r="H34" s="230">
        <v>0</v>
      </c>
      <c r="I34" s="230">
        <v>0</v>
      </c>
      <c r="J34" s="251">
        <v>3</v>
      </c>
      <c r="K34" s="294"/>
      <c r="L34" s="296"/>
      <c r="M34" s="297"/>
      <c r="N34" s="298">
        <v>123467.5160745155</v>
      </c>
      <c r="O34" s="299"/>
      <c r="P34" s="300"/>
    </row>
    <row r="35" spans="1:16" x14ac:dyDescent="0.25">
      <c r="A35" s="288" t="s">
        <v>25</v>
      </c>
      <c r="B35" s="286" t="s">
        <v>31</v>
      </c>
      <c r="C35" s="286" t="s">
        <v>518</v>
      </c>
      <c r="D35" s="209">
        <v>180774.59930183538</v>
      </c>
      <c r="E35" s="89">
        <v>54232.379790550614</v>
      </c>
      <c r="F35" s="230">
        <v>54232.379790550614</v>
      </c>
      <c r="G35" s="230">
        <v>0</v>
      </c>
      <c r="H35" s="230">
        <v>0</v>
      </c>
      <c r="I35" s="230">
        <v>0</v>
      </c>
      <c r="J35" s="251">
        <v>3</v>
      </c>
      <c r="K35" s="294"/>
      <c r="L35" s="296"/>
      <c r="M35" s="297"/>
      <c r="N35" s="298">
        <v>54232.379790550614</v>
      </c>
      <c r="O35" s="299"/>
      <c r="P35" s="300"/>
    </row>
    <row r="36" spans="1:16" x14ac:dyDescent="0.25">
      <c r="A36" s="288" t="s">
        <v>25</v>
      </c>
      <c r="B36" s="286" t="s">
        <v>34</v>
      </c>
      <c r="C36" s="286" t="s">
        <v>517</v>
      </c>
      <c r="D36" s="209">
        <v>70116.69807242621</v>
      </c>
      <c r="E36" s="89">
        <v>36376.699208884071</v>
      </c>
      <c r="F36" s="230">
        <v>36376.699208884071</v>
      </c>
      <c r="G36" s="230">
        <v>0</v>
      </c>
      <c r="H36" s="230">
        <v>0</v>
      </c>
      <c r="I36" s="230">
        <v>0</v>
      </c>
      <c r="J36" s="251">
        <v>3</v>
      </c>
      <c r="K36" s="294"/>
      <c r="L36" s="296"/>
      <c r="M36" s="297"/>
      <c r="N36" s="298">
        <v>36376.699208884071</v>
      </c>
      <c r="O36" s="299"/>
      <c r="P36" s="300"/>
    </row>
    <row r="37" spans="1:16" x14ac:dyDescent="0.25">
      <c r="A37" s="288" t="s">
        <v>25</v>
      </c>
      <c r="B37" s="286" t="s">
        <v>32</v>
      </c>
      <c r="C37" s="286" t="s">
        <v>518</v>
      </c>
      <c r="D37" s="209">
        <v>124645.85961017283</v>
      </c>
      <c r="E37" s="89">
        <v>37393.757883051847</v>
      </c>
      <c r="F37" s="230">
        <v>37393.757883051847</v>
      </c>
      <c r="G37" s="230">
        <v>0</v>
      </c>
      <c r="H37" s="230">
        <v>0</v>
      </c>
      <c r="I37" s="230">
        <v>0</v>
      </c>
      <c r="J37" s="251">
        <v>3</v>
      </c>
      <c r="K37" s="294"/>
      <c r="L37" s="296"/>
      <c r="M37" s="297"/>
      <c r="N37" s="298">
        <v>37393.757883051847</v>
      </c>
      <c r="O37" s="299"/>
      <c r="P37" s="300"/>
    </row>
    <row r="38" spans="1:16" x14ac:dyDescent="0.25">
      <c r="A38" s="288" t="s">
        <v>25</v>
      </c>
      <c r="B38" s="286" t="s">
        <v>101</v>
      </c>
      <c r="C38" s="286" t="s">
        <v>518</v>
      </c>
      <c r="D38" s="209">
        <v>139311.75211958765</v>
      </c>
      <c r="E38" s="89">
        <v>45972.878199463928</v>
      </c>
      <c r="F38" s="230">
        <v>45972.878199463928</v>
      </c>
      <c r="G38" s="230">
        <v>0</v>
      </c>
      <c r="H38" s="230">
        <v>0</v>
      </c>
      <c r="I38" s="230">
        <v>0</v>
      </c>
      <c r="J38" s="251">
        <v>4</v>
      </c>
      <c r="K38" s="294"/>
      <c r="L38" s="296"/>
      <c r="M38" s="297"/>
      <c r="N38" s="298"/>
      <c r="O38" s="299">
        <v>45972.878199463928</v>
      </c>
      <c r="P38" s="300"/>
    </row>
    <row r="39" spans="1:16" x14ac:dyDescent="0.25">
      <c r="A39" s="288" t="s">
        <v>35</v>
      </c>
      <c r="B39" s="286" t="s">
        <v>99</v>
      </c>
      <c r="C39" s="286" t="s">
        <v>518</v>
      </c>
      <c r="D39" s="209">
        <v>192292.42961104275</v>
      </c>
      <c r="E39" s="89">
        <v>58818</v>
      </c>
      <c r="F39" s="230">
        <v>58818</v>
      </c>
      <c r="G39" s="230">
        <v>0</v>
      </c>
      <c r="H39" s="230">
        <v>0</v>
      </c>
      <c r="I39" s="230">
        <v>0</v>
      </c>
      <c r="J39" s="251">
        <v>3</v>
      </c>
      <c r="K39" s="294"/>
      <c r="L39" s="296"/>
      <c r="M39" s="297"/>
      <c r="N39" s="298">
        <v>58818</v>
      </c>
      <c r="O39" s="299"/>
      <c r="P39" s="300"/>
    </row>
    <row r="40" spans="1:16" x14ac:dyDescent="0.25">
      <c r="A40" s="288" t="s">
        <v>35</v>
      </c>
      <c r="B40" s="286" t="s">
        <v>41</v>
      </c>
      <c r="C40" s="286" t="s">
        <v>517</v>
      </c>
      <c r="D40" s="209">
        <v>63311.145189044626</v>
      </c>
      <c r="E40" s="89">
        <v>22562.394974072144</v>
      </c>
      <c r="F40" s="230">
        <v>22562.394974072144</v>
      </c>
      <c r="G40" s="230">
        <v>0</v>
      </c>
      <c r="H40" s="230">
        <v>0</v>
      </c>
      <c r="I40" s="230">
        <v>0</v>
      </c>
      <c r="J40" s="251">
        <v>3</v>
      </c>
      <c r="K40" s="294"/>
      <c r="L40" s="296"/>
      <c r="M40" s="297"/>
      <c r="N40" s="298">
        <v>22562.394974072144</v>
      </c>
      <c r="O40" s="299"/>
      <c r="P40" s="300"/>
    </row>
    <row r="41" spans="1:16" x14ac:dyDescent="0.25">
      <c r="A41" s="288" t="s">
        <v>35</v>
      </c>
      <c r="B41" s="286" t="s">
        <v>40</v>
      </c>
      <c r="C41" s="286" t="s">
        <v>517</v>
      </c>
      <c r="D41" s="209">
        <v>97524.693287943446</v>
      </c>
      <c r="E41" s="89">
        <v>49598.736603060657</v>
      </c>
      <c r="F41" s="230">
        <v>49598.736603060657</v>
      </c>
      <c r="G41" s="230">
        <v>0</v>
      </c>
      <c r="H41" s="230">
        <v>0</v>
      </c>
      <c r="I41" s="230">
        <v>0</v>
      </c>
      <c r="J41" s="251">
        <v>3</v>
      </c>
      <c r="K41" s="294"/>
      <c r="L41" s="296"/>
      <c r="M41" s="297"/>
      <c r="N41" s="298">
        <v>49598.736603060657</v>
      </c>
      <c r="O41" s="299"/>
      <c r="P41" s="300"/>
    </row>
    <row r="42" spans="1:16" x14ac:dyDescent="0.25">
      <c r="A42" s="288" t="s">
        <v>35</v>
      </c>
      <c r="B42" s="286" t="s">
        <v>36</v>
      </c>
      <c r="C42" s="286" t="s">
        <v>518</v>
      </c>
      <c r="D42" s="209">
        <v>411975.47070167866</v>
      </c>
      <c r="E42" s="89">
        <v>135951.90533155395</v>
      </c>
      <c r="F42" s="230">
        <v>135951.90533155395</v>
      </c>
      <c r="G42" s="230">
        <v>0</v>
      </c>
      <c r="H42" s="230">
        <v>0</v>
      </c>
      <c r="I42" s="230">
        <v>0</v>
      </c>
      <c r="J42" s="251">
        <v>4</v>
      </c>
      <c r="K42" s="294"/>
      <c r="L42" s="296"/>
      <c r="M42" s="297"/>
      <c r="N42" s="298"/>
      <c r="O42" s="299">
        <v>135951.90533155395</v>
      </c>
      <c r="P42" s="300"/>
    </row>
    <row r="43" spans="1:16" x14ac:dyDescent="0.25">
      <c r="A43" s="288" t="s">
        <v>35</v>
      </c>
      <c r="B43" s="286" t="s">
        <v>37</v>
      </c>
      <c r="C43" s="286" t="s">
        <v>517</v>
      </c>
      <c r="D43" s="209">
        <v>115720.85954706004</v>
      </c>
      <c r="E43" s="89">
        <v>50508.189929658758</v>
      </c>
      <c r="F43" s="230">
        <v>50508.189929658758</v>
      </c>
      <c r="G43" s="230">
        <v>0</v>
      </c>
      <c r="H43" s="230">
        <v>0</v>
      </c>
      <c r="I43" s="230">
        <v>0</v>
      </c>
      <c r="J43" s="251">
        <v>3</v>
      </c>
      <c r="K43" s="294"/>
      <c r="L43" s="296"/>
      <c r="M43" s="297"/>
      <c r="N43" s="298">
        <v>50508.189929658758</v>
      </c>
      <c r="O43" s="299"/>
      <c r="P43" s="300"/>
    </row>
    <row r="44" spans="1:16" x14ac:dyDescent="0.25">
      <c r="A44" s="288" t="s">
        <v>35</v>
      </c>
      <c r="B44" s="286" t="s">
        <v>100</v>
      </c>
      <c r="C44" s="286" t="s">
        <v>518</v>
      </c>
      <c r="D44" s="209">
        <v>51771.471937647504</v>
      </c>
      <c r="E44" s="89">
        <v>29509.739004459076</v>
      </c>
      <c r="F44" s="230">
        <v>29509.739004459076</v>
      </c>
      <c r="G44" s="230">
        <v>0</v>
      </c>
      <c r="H44" s="230">
        <v>0</v>
      </c>
      <c r="I44" s="230">
        <v>0</v>
      </c>
      <c r="J44" s="251">
        <v>3</v>
      </c>
      <c r="K44" s="294"/>
      <c r="L44" s="296"/>
      <c r="M44" s="297"/>
      <c r="N44" s="298">
        <v>29509.739004459076</v>
      </c>
      <c r="O44" s="299"/>
      <c r="P44" s="300"/>
    </row>
    <row r="45" spans="1:16" x14ac:dyDescent="0.25">
      <c r="A45" s="288" t="s">
        <v>35</v>
      </c>
      <c r="B45" s="286" t="s">
        <v>42</v>
      </c>
      <c r="C45" s="286" t="s">
        <v>517</v>
      </c>
      <c r="D45" s="209">
        <v>33102.255414022919</v>
      </c>
      <c r="E45" s="89">
        <v>15535.563366154058</v>
      </c>
      <c r="F45" s="230">
        <v>15535.563366154058</v>
      </c>
      <c r="G45" s="230">
        <v>0</v>
      </c>
      <c r="H45" s="230">
        <v>0</v>
      </c>
      <c r="I45" s="230">
        <v>0</v>
      </c>
      <c r="J45" s="251">
        <v>3</v>
      </c>
      <c r="K45" s="294"/>
      <c r="L45" s="296"/>
      <c r="M45" s="297"/>
      <c r="N45" s="298">
        <v>15535.563366154058</v>
      </c>
      <c r="O45" s="299"/>
      <c r="P45" s="300"/>
    </row>
    <row r="46" spans="1:16" x14ac:dyDescent="0.25">
      <c r="A46" s="288" t="s">
        <v>35</v>
      </c>
      <c r="B46" s="286" t="s">
        <v>44</v>
      </c>
      <c r="C46" s="286" t="s">
        <v>517</v>
      </c>
      <c r="D46" s="209">
        <v>35799.142504008909</v>
      </c>
      <c r="E46" s="89">
        <v>15625.099018350136</v>
      </c>
      <c r="F46" s="230">
        <v>15625.099018350136</v>
      </c>
      <c r="G46" s="230">
        <v>0</v>
      </c>
      <c r="H46" s="230">
        <v>0</v>
      </c>
      <c r="I46" s="230">
        <v>0</v>
      </c>
      <c r="J46" s="251">
        <v>3</v>
      </c>
      <c r="K46" s="294"/>
      <c r="L46" s="296"/>
      <c r="M46" s="297"/>
      <c r="N46" s="298">
        <v>15625.099018350136</v>
      </c>
      <c r="O46" s="299"/>
      <c r="P46" s="300"/>
    </row>
    <row r="47" spans="1:16" x14ac:dyDescent="0.25">
      <c r="A47" s="288" t="s">
        <v>35</v>
      </c>
      <c r="B47" s="286" t="s">
        <v>38</v>
      </c>
      <c r="C47" s="286" t="s">
        <v>518</v>
      </c>
      <c r="D47" s="209">
        <v>192148.51220252842</v>
      </c>
      <c r="E47" s="89">
        <v>96074.256101264211</v>
      </c>
      <c r="F47" s="230">
        <v>96074.256101264211</v>
      </c>
      <c r="G47" s="230">
        <v>0</v>
      </c>
      <c r="H47" s="230">
        <v>0</v>
      </c>
      <c r="I47" s="230">
        <v>0</v>
      </c>
      <c r="J47" s="251">
        <v>4</v>
      </c>
      <c r="K47" s="294"/>
      <c r="L47" s="296"/>
      <c r="M47" s="297"/>
      <c r="N47" s="298"/>
      <c r="O47" s="299">
        <v>96074.256101264211</v>
      </c>
      <c r="P47" s="300"/>
    </row>
    <row r="48" spans="1:16" x14ac:dyDescent="0.25">
      <c r="A48" s="288" t="s">
        <v>35</v>
      </c>
      <c r="B48" s="286" t="s">
        <v>45</v>
      </c>
      <c r="C48" s="286" t="s">
        <v>518</v>
      </c>
      <c r="D48" s="209">
        <v>130579.39338437033</v>
      </c>
      <c r="E48" s="89">
        <v>44396.993750685913</v>
      </c>
      <c r="F48" s="230">
        <v>44396.993750685913</v>
      </c>
      <c r="G48" s="230">
        <v>0</v>
      </c>
      <c r="H48" s="230">
        <v>0</v>
      </c>
      <c r="I48" s="230">
        <v>0</v>
      </c>
      <c r="J48" s="251">
        <v>3</v>
      </c>
      <c r="K48" s="294"/>
      <c r="L48" s="296"/>
      <c r="M48" s="297"/>
      <c r="N48" s="298">
        <v>44396.993750685913</v>
      </c>
      <c r="O48" s="299"/>
      <c r="P48" s="300"/>
    </row>
    <row r="49" spans="1:16" x14ac:dyDescent="0.25">
      <c r="A49" s="288" t="s">
        <v>35</v>
      </c>
      <c r="B49" s="286" t="s">
        <v>43</v>
      </c>
      <c r="C49" s="286" t="s">
        <v>517</v>
      </c>
      <c r="D49" s="209">
        <v>84587.143990367971</v>
      </c>
      <c r="E49" s="89">
        <v>36919.389909435224</v>
      </c>
      <c r="F49" s="230">
        <v>36919.389909435224</v>
      </c>
      <c r="G49" s="230">
        <v>0</v>
      </c>
      <c r="H49" s="230">
        <v>0</v>
      </c>
      <c r="I49" s="230">
        <v>0</v>
      </c>
      <c r="J49" s="251">
        <v>3</v>
      </c>
      <c r="K49" s="294"/>
      <c r="L49" s="296"/>
      <c r="M49" s="297"/>
      <c r="N49" s="298">
        <v>36919.389909435224</v>
      </c>
      <c r="O49" s="299"/>
      <c r="P49" s="300"/>
    </row>
    <row r="50" spans="1:16" x14ac:dyDescent="0.25">
      <c r="A50" s="288" t="s">
        <v>35</v>
      </c>
      <c r="B50" s="286" t="s">
        <v>46</v>
      </c>
      <c r="C50" s="286" t="s">
        <v>518</v>
      </c>
      <c r="D50" s="209">
        <v>141285.59712211051</v>
      </c>
      <c r="E50" s="89">
        <v>55563</v>
      </c>
      <c r="F50" s="230">
        <v>55563</v>
      </c>
      <c r="G50" s="230">
        <v>0</v>
      </c>
      <c r="H50" s="230">
        <v>0</v>
      </c>
      <c r="I50" s="230">
        <v>0</v>
      </c>
      <c r="J50" s="251">
        <v>3</v>
      </c>
      <c r="K50" s="294"/>
      <c r="L50" s="296"/>
      <c r="M50" s="297"/>
      <c r="N50" s="298">
        <v>55563</v>
      </c>
      <c r="O50" s="299"/>
      <c r="P50" s="300"/>
    </row>
    <row r="51" spans="1:16" x14ac:dyDescent="0.25">
      <c r="A51" s="288" t="s">
        <v>35</v>
      </c>
      <c r="B51" s="286" t="s">
        <v>39</v>
      </c>
      <c r="C51" s="286" t="s">
        <v>518</v>
      </c>
      <c r="D51" s="209">
        <v>329157.88510817388</v>
      </c>
      <c r="E51" s="89">
        <v>98747.365532452168</v>
      </c>
      <c r="F51" s="230">
        <v>96831.365532452168</v>
      </c>
      <c r="G51" s="230">
        <v>0</v>
      </c>
      <c r="H51" s="230">
        <v>1916</v>
      </c>
      <c r="I51" s="230">
        <v>0</v>
      </c>
      <c r="J51" s="251">
        <v>3</v>
      </c>
      <c r="K51" s="294"/>
      <c r="L51" s="296"/>
      <c r="M51" s="297"/>
      <c r="N51" s="298">
        <v>98747.365532452168</v>
      </c>
      <c r="O51" s="299"/>
      <c r="P51" s="300"/>
    </row>
    <row r="52" spans="1:16" x14ac:dyDescent="0.25">
      <c r="A52" s="288" t="s">
        <v>76</v>
      </c>
      <c r="B52" s="286" t="s">
        <v>77</v>
      </c>
      <c r="C52" s="286" t="s">
        <v>518</v>
      </c>
      <c r="D52" s="209">
        <v>196913.64880781635</v>
      </c>
      <c r="E52" s="89">
        <v>72858.05005889204</v>
      </c>
      <c r="F52" s="230">
        <v>72858.05005889204</v>
      </c>
      <c r="G52" s="230">
        <v>0</v>
      </c>
      <c r="H52" s="230">
        <v>0</v>
      </c>
      <c r="I52" s="230">
        <v>0</v>
      </c>
      <c r="J52" s="251">
        <v>3</v>
      </c>
      <c r="K52" s="294"/>
      <c r="L52" s="296"/>
      <c r="M52" s="297"/>
      <c r="N52" s="298">
        <v>72858.05005889204</v>
      </c>
      <c r="O52" s="299"/>
      <c r="P52" s="300"/>
    </row>
    <row r="53" spans="1:16" x14ac:dyDescent="0.25">
      <c r="A53" s="288" t="s">
        <v>76</v>
      </c>
      <c r="B53" s="286" t="s">
        <v>91</v>
      </c>
      <c r="C53" s="286" t="s">
        <v>518</v>
      </c>
      <c r="D53" s="209">
        <v>334454.59903911548</v>
      </c>
      <c r="E53" s="89">
        <v>167227.29951955774</v>
      </c>
      <c r="F53" s="230">
        <v>167227.29951955774</v>
      </c>
      <c r="G53" s="230">
        <v>0</v>
      </c>
      <c r="H53" s="230">
        <v>0</v>
      </c>
      <c r="I53" s="230">
        <v>0</v>
      </c>
      <c r="J53" s="251">
        <v>4</v>
      </c>
      <c r="K53" s="294"/>
      <c r="L53" s="296"/>
      <c r="M53" s="297"/>
      <c r="N53" s="298"/>
      <c r="O53" s="299">
        <v>167227.29951955774</v>
      </c>
      <c r="P53" s="300"/>
    </row>
    <row r="54" spans="1:16" x14ac:dyDescent="0.25">
      <c r="A54" s="288" t="s">
        <v>76</v>
      </c>
      <c r="B54" s="286" t="s">
        <v>83</v>
      </c>
      <c r="C54" s="286" t="s">
        <v>517</v>
      </c>
      <c r="D54" s="209">
        <v>36928.889470671813</v>
      </c>
      <c r="E54" s="89">
        <v>16319.491119010396</v>
      </c>
      <c r="F54" s="230">
        <v>16319.491119010396</v>
      </c>
      <c r="G54" s="230">
        <v>0</v>
      </c>
      <c r="H54" s="230">
        <v>0</v>
      </c>
      <c r="I54" s="230">
        <v>0</v>
      </c>
      <c r="J54" s="251">
        <v>3</v>
      </c>
      <c r="K54" s="294"/>
      <c r="L54" s="296"/>
      <c r="M54" s="297"/>
      <c r="N54" s="298">
        <v>16319.491119010396</v>
      </c>
      <c r="O54" s="299"/>
      <c r="P54" s="300"/>
    </row>
    <row r="55" spans="1:16" x14ac:dyDescent="0.25">
      <c r="A55" s="288" t="s">
        <v>76</v>
      </c>
      <c r="B55" s="286" t="s">
        <v>78</v>
      </c>
      <c r="C55" s="286" t="s">
        <v>518</v>
      </c>
      <c r="D55" s="209">
        <v>201392.70782040147</v>
      </c>
      <c r="E55" s="89">
        <v>72642</v>
      </c>
      <c r="F55" s="230">
        <v>72642</v>
      </c>
      <c r="G55" s="230">
        <v>0</v>
      </c>
      <c r="H55" s="230">
        <v>0</v>
      </c>
      <c r="I55" s="230">
        <v>0</v>
      </c>
      <c r="J55" s="251">
        <v>3</v>
      </c>
      <c r="K55" s="294"/>
      <c r="L55" s="296"/>
      <c r="M55" s="297"/>
      <c r="N55" s="298">
        <v>72642</v>
      </c>
      <c r="O55" s="299"/>
      <c r="P55" s="300"/>
    </row>
    <row r="56" spans="1:16" x14ac:dyDescent="0.25">
      <c r="A56" s="288" t="s">
        <v>76</v>
      </c>
      <c r="B56" s="286" t="s">
        <v>79</v>
      </c>
      <c r="C56" s="286" t="s">
        <v>518</v>
      </c>
      <c r="D56" s="209">
        <v>246309.4344578443</v>
      </c>
      <c r="E56" s="89">
        <v>88843</v>
      </c>
      <c r="F56" s="230">
        <v>88843</v>
      </c>
      <c r="G56" s="230">
        <v>0</v>
      </c>
      <c r="H56" s="230">
        <v>0</v>
      </c>
      <c r="I56" s="230">
        <v>0</v>
      </c>
      <c r="J56" s="251">
        <v>3</v>
      </c>
      <c r="K56" s="294"/>
      <c r="L56" s="296"/>
      <c r="M56" s="297"/>
      <c r="N56" s="298">
        <v>88843</v>
      </c>
      <c r="O56" s="299"/>
      <c r="P56" s="300"/>
    </row>
    <row r="57" spans="1:16" x14ac:dyDescent="0.25">
      <c r="A57" s="288" t="s">
        <v>76</v>
      </c>
      <c r="B57" s="286" t="s">
        <v>76</v>
      </c>
      <c r="C57" s="286" t="s">
        <v>518</v>
      </c>
      <c r="D57" s="209">
        <v>256172.3393834717</v>
      </c>
      <c r="E57" s="89">
        <v>84536.871996545669</v>
      </c>
      <c r="F57" s="230">
        <v>82707.871996545669</v>
      </c>
      <c r="G57" s="230">
        <v>0</v>
      </c>
      <c r="H57" s="230">
        <v>1829</v>
      </c>
      <c r="I57" s="230">
        <v>0</v>
      </c>
      <c r="J57" s="251">
        <v>3</v>
      </c>
      <c r="K57" s="294"/>
      <c r="L57" s="296"/>
      <c r="M57" s="297"/>
      <c r="N57" s="298">
        <v>84536.871996545669</v>
      </c>
      <c r="O57" s="299"/>
      <c r="P57" s="300"/>
    </row>
    <row r="58" spans="1:16" x14ac:dyDescent="0.25">
      <c r="A58" s="288" t="s">
        <v>76</v>
      </c>
      <c r="B58" s="286" t="s">
        <v>82</v>
      </c>
      <c r="C58" s="286" t="s">
        <v>517</v>
      </c>
      <c r="D58" s="209">
        <v>106592.62940158509</v>
      </c>
      <c r="E58" s="89">
        <v>55635.602971636428</v>
      </c>
      <c r="F58" s="230">
        <v>55635.602971636428</v>
      </c>
      <c r="G58" s="230">
        <v>0</v>
      </c>
      <c r="H58" s="230">
        <v>0</v>
      </c>
      <c r="I58" s="230">
        <v>0</v>
      </c>
      <c r="J58" s="251">
        <v>3</v>
      </c>
      <c r="K58" s="294"/>
      <c r="L58" s="296"/>
      <c r="M58" s="297"/>
      <c r="N58" s="298">
        <v>55635.602971636428</v>
      </c>
      <c r="O58" s="299"/>
      <c r="P58" s="300"/>
    </row>
    <row r="59" spans="1:16" x14ac:dyDescent="0.25">
      <c r="A59" s="288" t="s">
        <v>76</v>
      </c>
      <c r="B59" s="286" t="s">
        <v>80</v>
      </c>
      <c r="C59" s="286" t="s">
        <v>518</v>
      </c>
      <c r="D59" s="209">
        <v>202537.63923331245</v>
      </c>
      <c r="E59" s="89">
        <v>82188</v>
      </c>
      <c r="F59" s="230">
        <v>82188</v>
      </c>
      <c r="G59" s="230">
        <v>0</v>
      </c>
      <c r="H59" s="230">
        <v>0</v>
      </c>
      <c r="I59" s="230">
        <v>0</v>
      </c>
      <c r="J59" s="251">
        <v>3</v>
      </c>
      <c r="K59" s="294"/>
      <c r="L59" s="296"/>
      <c r="M59" s="297"/>
      <c r="N59" s="298">
        <v>82188</v>
      </c>
      <c r="O59" s="299"/>
      <c r="P59" s="300"/>
    </row>
    <row r="60" spans="1:16" x14ac:dyDescent="0.25">
      <c r="A60" s="288" t="s">
        <v>76</v>
      </c>
      <c r="B60" s="286" t="s">
        <v>81</v>
      </c>
      <c r="C60" s="286" t="s">
        <v>518</v>
      </c>
      <c r="D60" s="209">
        <v>219891.11238578134</v>
      </c>
      <c r="E60" s="89">
        <v>116542.28956446411</v>
      </c>
      <c r="F60" s="230">
        <v>116542.28956446411</v>
      </c>
      <c r="G60" s="230">
        <v>0</v>
      </c>
      <c r="H60" s="230">
        <v>0</v>
      </c>
      <c r="I60" s="230">
        <v>0</v>
      </c>
      <c r="J60" s="251">
        <v>3</v>
      </c>
      <c r="K60" s="294"/>
      <c r="L60" s="296"/>
      <c r="M60" s="297"/>
      <c r="N60" s="298">
        <v>116542.28956446411</v>
      </c>
      <c r="O60" s="299"/>
      <c r="P60" s="300"/>
    </row>
    <row r="61" spans="1:16" x14ac:dyDescent="0.25">
      <c r="A61" s="288" t="s">
        <v>47</v>
      </c>
      <c r="B61" s="286" t="s">
        <v>48</v>
      </c>
      <c r="C61" s="286" t="s">
        <v>518</v>
      </c>
      <c r="D61" s="209">
        <v>168069.27561323709</v>
      </c>
      <c r="E61" s="89">
        <v>100841.56536794225</v>
      </c>
      <c r="F61" s="230">
        <v>99454.565367942254</v>
      </c>
      <c r="G61" s="230">
        <v>0</v>
      </c>
      <c r="H61" s="230">
        <v>1387</v>
      </c>
      <c r="I61" s="230">
        <v>0</v>
      </c>
      <c r="J61" s="251">
        <v>3</v>
      </c>
      <c r="K61" s="294"/>
      <c r="L61" s="296"/>
      <c r="M61" s="297"/>
      <c r="N61" s="298">
        <v>100841.56536794225</v>
      </c>
      <c r="O61" s="299"/>
      <c r="P61" s="300"/>
    </row>
    <row r="62" spans="1:16" x14ac:dyDescent="0.25">
      <c r="A62" s="288" t="s">
        <v>47</v>
      </c>
      <c r="B62" s="286" t="s">
        <v>49</v>
      </c>
      <c r="C62" s="286" t="s">
        <v>518</v>
      </c>
      <c r="D62" s="209">
        <v>74775.191835432313</v>
      </c>
      <c r="E62" s="89">
        <v>31405.580570881571</v>
      </c>
      <c r="F62" s="230">
        <v>31405.580570881571</v>
      </c>
      <c r="G62" s="230">
        <v>0</v>
      </c>
      <c r="H62" s="230">
        <v>0</v>
      </c>
      <c r="I62" s="230">
        <v>0</v>
      </c>
      <c r="J62" s="251">
        <v>3</v>
      </c>
      <c r="K62" s="294"/>
      <c r="L62" s="296"/>
      <c r="M62" s="297"/>
      <c r="N62" s="298">
        <v>31405.580570881571</v>
      </c>
      <c r="O62" s="299"/>
      <c r="P62" s="300"/>
    </row>
    <row r="63" spans="1:16" x14ac:dyDescent="0.25">
      <c r="A63" s="288" t="s">
        <v>47</v>
      </c>
      <c r="B63" s="286" t="s">
        <v>98</v>
      </c>
      <c r="C63" s="286" t="s">
        <v>518</v>
      </c>
      <c r="D63" s="209">
        <v>75726.148899157168</v>
      </c>
      <c r="E63" s="89">
        <v>34834.028493612299</v>
      </c>
      <c r="F63" s="230">
        <v>34834.028493612299</v>
      </c>
      <c r="G63" s="230">
        <v>0</v>
      </c>
      <c r="H63" s="230">
        <v>0</v>
      </c>
      <c r="I63" s="230">
        <v>0</v>
      </c>
      <c r="J63" s="251">
        <v>3</v>
      </c>
      <c r="K63" s="294"/>
      <c r="L63" s="296"/>
      <c r="M63" s="297"/>
      <c r="N63" s="298">
        <v>34834.028493612299</v>
      </c>
      <c r="O63" s="299"/>
      <c r="P63" s="300"/>
    </row>
    <row r="64" spans="1:16" x14ac:dyDescent="0.25">
      <c r="A64" s="288" t="s">
        <v>47</v>
      </c>
      <c r="B64" s="286" t="s">
        <v>54</v>
      </c>
      <c r="C64" s="286" t="s">
        <v>517</v>
      </c>
      <c r="D64" s="209">
        <v>45339.022801885672</v>
      </c>
      <c r="E64" s="89">
        <v>18353.889605393997</v>
      </c>
      <c r="F64" s="230">
        <v>18353.889605393997</v>
      </c>
      <c r="G64" s="230">
        <v>0</v>
      </c>
      <c r="H64" s="230">
        <v>0</v>
      </c>
      <c r="I64" s="230">
        <v>0</v>
      </c>
      <c r="J64" s="251">
        <v>3</v>
      </c>
      <c r="K64" s="294"/>
      <c r="L64" s="296"/>
      <c r="M64" s="297"/>
      <c r="N64" s="298">
        <v>18353.889605393997</v>
      </c>
      <c r="O64" s="299"/>
      <c r="P64" s="300"/>
    </row>
    <row r="65" spans="1:16" x14ac:dyDescent="0.25">
      <c r="A65" s="288" t="s">
        <v>47</v>
      </c>
      <c r="B65" s="286" t="s">
        <v>50</v>
      </c>
      <c r="C65" s="286" t="s">
        <v>518</v>
      </c>
      <c r="D65" s="209">
        <v>121027.7134177195</v>
      </c>
      <c r="E65" s="89">
        <v>67775.519513922918</v>
      </c>
      <c r="F65" s="230">
        <v>67775.519513922918</v>
      </c>
      <c r="G65" s="230">
        <v>0</v>
      </c>
      <c r="H65" s="230">
        <v>0</v>
      </c>
      <c r="I65" s="230">
        <v>0</v>
      </c>
      <c r="J65" s="251">
        <v>3</v>
      </c>
      <c r="K65" s="294"/>
      <c r="L65" s="296"/>
      <c r="M65" s="297"/>
      <c r="N65" s="298">
        <v>67775.519513922918</v>
      </c>
      <c r="O65" s="299"/>
      <c r="P65" s="300"/>
    </row>
    <row r="66" spans="1:16" x14ac:dyDescent="0.25">
      <c r="A66" s="288" t="s">
        <v>47</v>
      </c>
      <c r="B66" s="286" t="s">
        <v>51</v>
      </c>
      <c r="C66" s="286" t="s">
        <v>518</v>
      </c>
      <c r="D66" s="209">
        <v>131871.28227396708</v>
      </c>
      <c r="E66" s="89">
        <v>77804.056541640573</v>
      </c>
      <c r="F66" s="230">
        <v>77804.056541640573</v>
      </c>
      <c r="G66" s="230">
        <v>0</v>
      </c>
      <c r="H66" s="230">
        <v>0</v>
      </c>
      <c r="I66" s="230">
        <v>0</v>
      </c>
      <c r="J66" s="251">
        <v>3</v>
      </c>
      <c r="K66" s="294"/>
      <c r="L66" s="296"/>
      <c r="M66" s="297"/>
      <c r="N66" s="298">
        <v>77804.056541640573</v>
      </c>
      <c r="O66" s="299"/>
      <c r="P66" s="300"/>
    </row>
    <row r="67" spans="1:16" x14ac:dyDescent="0.25">
      <c r="A67" s="288" t="s">
        <v>47</v>
      </c>
      <c r="B67" s="286" t="s">
        <v>52</v>
      </c>
      <c r="C67" s="286" t="s">
        <v>518</v>
      </c>
      <c r="D67" s="209">
        <v>139101.93928709227</v>
      </c>
      <c r="E67" s="89">
        <v>83461.163572255362</v>
      </c>
      <c r="F67" s="230">
        <v>83461.163572255362</v>
      </c>
      <c r="G67" s="230">
        <v>0</v>
      </c>
      <c r="H67" s="230">
        <v>0</v>
      </c>
      <c r="I67" s="230">
        <v>0</v>
      </c>
      <c r="J67" s="251">
        <v>3</v>
      </c>
      <c r="K67" s="294"/>
      <c r="L67" s="296"/>
      <c r="M67" s="297"/>
      <c r="N67" s="298">
        <v>83461.163572255362</v>
      </c>
      <c r="O67" s="299"/>
      <c r="P67" s="300"/>
    </row>
    <row r="68" spans="1:16" x14ac:dyDescent="0.25">
      <c r="A68" s="288" t="s">
        <v>47</v>
      </c>
      <c r="B68" s="286" t="s">
        <v>53</v>
      </c>
      <c r="C68" s="286" t="s">
        <v>518</v>
      </c>
      <c r="D68" s="209">
        <v>108371.64698131017</v>
      </c>
      <c r="E68" s="89">
        <v>55269.539960468188</v>
      </c>
      <c r="F68" s="230">
        <v>55269.539960468188</v>
      </c>
      <c r="G68" s="230">
        <v>0</v>
      </c>
      <c r="H68" s="230">
        <v>0</v>
      </c>
      <c r="I68" s="230">
        <v>0</v>
      </c>
      <c r="J68" s="251">
        <v>3</v>
      </c>
      <c r="K68" s="294"/>
      <c r="L68" s="296"/>
      <c r="M68" s="297"/>
      <c r="N68" s="298">
        <v>55269.539960468188</v>
      </c>
      <c r="O68" s="299"/>
      <c r="P68" s="300"/>
    </row>
    <row r="69" spans="1:16" x14ac:dyDescent="0.25">
      <c r="A69" s="288" t="s">
        <v>47</v>
      </c>
      <c r="B69" s="286" t="s">
        <v>55</v>
      </c>
      <c r="C69" s="286" t="s">
        <v>517</v>
      </c>
      <c r="D69" s="209">
        <v>40778.778890198751</v>
      </c>
      <c r="E69" s="89">
        <v>16507.837172934189</v>
      </c>
      <c r="F69" s="230">
        <v>16507.837172934189</v>
      </c>
      <c r="G69" s="230">
        <v>0</v>
      </c>
      <c r="H69" s="230">
        <v>0</v>
      </c>
      <c r="I69" s="230">
        <v>0</v>
      </c>
      <c r="J69" s="318">
        <v>3</v>
      </c>
      <c r="K69" s="294"/>
      <c r="L69" s="296"/>
      <c r="M69" s="297"/>
      <c r="N69" s="298">
        <v>16507.837172934189</v>
      </c>
      <c r="O69" s="299"/>
      <c r="P69" s="300"/>
    </row>
    <row r="70" spans="1:16" x14ac:dyDescent="0.25">
      <c r="A70" s="288" t="s">
        <v>56</v>
      </c>
      <c r="B70" s="286" t="s">
        <v>97</v>
      </c>
      <c r="C70" s="286" t="s">
        <v>518</v>
      </c>
      <c r="D70" s="209">
        <v>96543.568115187605</v>
      </c>
      <c r="E70" s="89">
        <v>56960.705187960681</v>
      </c>
      <c r="F70" s="230">
        <v>53878.705187960681</v>
      </c>
      <c r="G70" s="230">
        <v>0</v>
      </c>
      <c r="H70" s="230">
        <v>3082</v>
      </c>
      <c r="I70" s="230">
        <v>0</v>
      </c>
      <c r="J70" s="251">
        <v>3</v>
      </c>
      <c r="K70" s="294"/>
      <c r="L70" s="296"/>
      <c r="M70" s="297"/>
      <c r="N70" s="298">
        <v>56960.705187960681</v>
      </c>
      <c r="O70" s="299"/>
      <c r="P70" s="300"/>
    </row>
    <row r="71" spans="1:16" x14ac:dyDescent="0.25">
      <c r="A71" s="288" t="s">
        <v>56</v>
      </c>
      <c r="B71" s="286" t="s">
        <v>64</v>
      </c>
      <c r="C71" s="286" t="s">
        <v>517</v>
      </c>
      <c r="D71" s="209">
        <v>50798.001194631324</v>
      </c>
      <c r="E71" s="89">
        <v>22171.586889588179</v>
      </c>
      <c r="F71" s="230">
        <v>22171.586889588179</v>
      </c>
      <c r="G71" s="230">
        <v>0</v>
      </c>
      <c r="H71" s="230">
        <v>0</v>
      </c>
      <c r="I71" s="230">
        <v>0</v>
      </c>
      <c r="J71" s="251">
        <v>3</v>
      </c>
      <c r="K71" s="294"/>
      <c r="L71" s="296"/>
      <c r="M71" s="297"/>
      <c r="N71" s="298">
        <v>22171.586889588179</v>
      </c>
      <c r="O71" s="299"/>
      <c r="P71" s="300"/>
    </row>
    <row r="72" spans="1:16" x14ac:dyDescent="0.25">
      <c r="A72" s="288" t="s">
        <v>56</v>
      </c>
      <c r="B72" s="286" t="s">
        <v>57</v>
      </c>
      <c r="C72" s="286" t="s">
        <v>518</v>
      </c>
      <c r="D72" s="209">
        <v>109175.25657230006</v>
      </c>
      <c r="E72" s="89">
        <v>36027.834668859025</v>
      </c>
      <c r="F72" s="230">
        <v>36027.834668859025</v>
      </c>
      <c r="G72" s="230">
        <v>0</v>
      </c>
      <c r="H72" s="230">
        <v>0</v>
      </c>
      <c r="I72" s="230">
        <v>0</v>
      </c>
      <c r="J72" s="251">
        <v>4</v>
      </c>
      <c r="K72" s="294"/>
      <c r="L72" s="296"/>
      <c r="M72" s="297"/>
      <c r="N72" s="298"/>
      <c r="O72" s="299">
        <v>36027.834668859025</v>
      </c>
      <c r="P72" s="300"/>
    </row>
    <row r="73" spans="1:16" x14ac:dyDescent="0.25">
      <c r="A73" s="288" t="s">
        <v>56</v>
      </c>
      <c r="B73" s="286" t="s">
        <v>59</v>
      </c>
      <c r="C73" s="286" t="s">
        <v>518</v>
      </c>
      <c r="D73" s="209">
        <v>139575.45583007869</v>
      </c>
      <c r="E73" s="89">
        <v>56982</v>
      </c>
      <c r="F73" s="230">
        <v>56982</v>
      </c>
      <c r="G73" s="230">
        <v>0</v>
      </c>
      <c r="H73" s="230">
        <v>0</v>
      </c>
      <c r="I73" s="230">
        <v>0</v>
      </c>
      <c r="J73" s="251">
        <v>4</v>
      </c>
      <c r="K73" s="294"/>
      <c r="L73" s="296"/>
      <c r="M73" s="297"/>
      <c r="N73" s="298"/>
      <c r="O73" s="299">
        <v>56982</v>
      </c>
      <c r="P73" s="300"/>
    </row>
    <row r="74" spans="1:16" x14ac:dyDescent="0.25">
      <c r="A74" s="288" t="s">
        <v>56</v>
      </c>
      <c r="B74" s="286" t="s">
        <v>63</v>
      </c>
      <c r="C74" s="286" t="s">
        <v>517</v>
      </c>
      <c r="D74" s="209">
        <v>24384.535447796658</v>
      </c>
      <c r="E74" s="89">
        <v>10643.014168443413</v>
      </c>
      <c r="F74" s="230">
        <v>10643.014168443413</v>
      </c>
      <c r="G74" s="230">
        <v>0</v>
      </c>
      <c r="H74" s="230">
        <v>0</v>
      </c>
      <c r="I74" s="230">
        <v>0</v>
      </c>
      <c r="J74" s="318">
        <v>3</v>
      </c>
      <c r="K74" s="294"/>
      <c r="L74" s="296"/>
      <c r="M74" s="297"/>
      <c r="N74" s="298">
        <v>10643.014168443413</v>
      </c>
      <c r="O74" s="299"/>
      <c r="P74" s="300"/>
    </row>
    <row r="75" spans="1:16" x14ac:dyDescent="0.25">
      <c r="A75" s="288" t="s">
        <v>56</v>
      </c>
      <c r="B75" s="286" t="s">
        <v>60</v>
      </c>
      <c r="C75" s="286" t="s">
        <v>518</v>
      </c>
      <c r="D75" s="209">
        <v>120955.83107152727</v>
      </c>
      <c r="E75" s="89">
        <v>47172.774117895635</v>
      </c>
      <c r="F75" s="230">
        <v>47172.774117895635</v>
      </c>
      <c r="G75" s="230">
        <v>0</v>
      </c>
      <c r="H75" s="230">
        <v>0</v>
      </c>
      <c r="I75" s="230">
        <v>0</v>
      </c>
      <c r="J75" s="251">
        <v>3</v>
      </c>
      <c r="K75" s="294"/>
      <c r="L75" s="296"/>
      <c r="M75" s="297"/>
      <c r="N75" s="298">
        <v>47172.774117895635</v>
      </c>
      <c r="O75" s="299"/>
      <c r="P75" s="300"/>
    </row>
    <row r="76" spans="1:16" x14ac:dyDescent="0.25">
      <c r="A76" s="288" t="s">
        <v>56</v>
      </c>
      <c r="B76" s="286" t="s">
        <v>58</v>
      </c>
      <c r="C76" s="286" t="s">
        <v>518</v>
      </c>
      <c r="D76" s="209">
        <v>79828.702639155541</v>
      </c>
      <c r="E76" s="89">
        <v>35922.916187619994</v>
      </c>
      <c r="F76" s="230">
        <v>35922.916187619994</v>
      </c>
      <c r="G76" s="230">
        <v>0</v>
      </c>
      <c r="H76" s="230">
        <v>0</v>
      </c>
      <c r="I76" s="230">
        <v>0</v>
      </c>
      <c r="J76" s="251">
        <v>3</v>
      </c>
      <c r="K76" s="294"/>
      <c r="L76" s="296"/>
      <c r="M76" s="297"/>
      <c r="N76" s="298">
        <v>35922.916187619994</v>
      </c>
      <c r="O76" s="299"/>
      <c r="P76" s="300"/>
    </row>
    <row r="77" spans="1:16" x14ac:dyDescent="0.25">
      <c r="A77" s="288" t="s">
        <v>56</v>
      </c>
      <c r="B77" s="286" t="s">
        <v>61</v>
      </c>
      <c r="C77" s="286" t="s">
        <v>518</v>
      </c>
      <c r="D77" s="209">
        <v>113248.78924042211</v>
      </c>
      <c r="E77" s="89">
        <v>32842.148879722408</v>
      </c>
      <c r="F77" s="230">
        <v>32842.148879722408</v>
      </c>
      <c r="G77" s="230">
        <v>0</v>
      </c>
      <c r="H77" s="230">
        <v>0</v>
      </c>
      <c r="I77" s="230">
        <v>0</v>
      </c>
      <c r="J77" s="251">
        <v>3</v>
      </c>
      <c r="K77" s="294"/>
      <c r="L77" s="296"/>
      <c r="M77" s="297"/>
      <c r="N77" s="298">
        <v>32842.148879722408</v>
      </c>
      <c r="O77" s="299"/>
      <c r="P77" s="300"/>
    </row>
    <row r="78" spans="1:16" x14ac:dyDescent="0.25">
      <c r="A78" s="288" t="s">
        <v>56</v>
      </c>
      <c r="B78" s="286" t="s">
        <v>65</v>
      </c>
      <c r="C78" s="286" t="s">
        <v>517</v>
      </c>
      <c r="D78" s="209">
        <v>14015.652796563205</v>
      </c>
      <c r="E78" s="89">
        <v>6117.3521887735769</v>
      </c>
      <c r="F78" s="230">
        <v>6117.3521887735769</v>
      </c>
      <c r="G78" s="230">
        <v>0</v>
      </c>
      <c r="H78" s="230">
        <v>0</v>
      </c>
      <c r="I78" s="230">
        <v>0</v>
      </c>
      <c r="J78" s="318">
        <v>3</v>
      </c>
      <c r="K78" s="294"/>
      <c r="L78" s="296"/>
      <c r="M78" s="297"/>
      <c r="N78" s="298">
        <v>6117.3521887735769</v>
      </c>
      <c r="O78" s="299"/>
      <c r="P78" s="300"/>
    </row>
    <row r="79" spans="1:16" x14ac:dyDescent="0.25">
      <c r="A79" s="288" t="s">
        <v>56</v>
      </c>
      <c r="B79" s="286" t="s">
        <v>62</v>
      </c>
      <c r="C79" s="286" t="s">
        <v>518</v>
      </c>
      <c r="D79" s="209">
        <v>75937.207092337543</v>
      </c>
      <c r="E79" s="89">
        <v>27557</v>
      </c>
      <c r="F79" s="230">
        <v>27557</v>
      </c>
      <c r="G79" s="230">
        <v>0</v>
      </c>
      <c r="H79" s="230">
        <v>0</v>
      </c>
      <c r="I79" s="230">
        <v>0</v>
      </c>
      <c r="J79" s="251">
        <v>3</v>
      </c>
      <c r="K79" s="294"/>
      <c r="L79" s="296"/>
      <c r="M79" s="297"/>
      <c r="N79" s="298">
        <v>27557</v>
      </c>
      <c r="O79" s="299"/>
      <c r="P79" s="300"/>
    </row>
    <row r="80" spans="1:16" x14ac:dyDescent="0.25">
      <c r="A80" s="288" t="s">
        <v>66</v>
      </c>
      <c r="B80" s="286" t="s">
        <v>67</v>
      </c>
      <c r="C80" s="286" t="s">
        <v>518</v>
      </c>
      <c r="D80" s="209">
        <v>99073.36746915213</v>
      </c>
      <c r="E80" s="89">
        <v>39546</v>
      </c>
      <c r="F80" s="230">
        <v>39546</v>
      </c>
      <c r="G80" s="230">
        <v>0</v>
      </c>
      <c r="H80" s="230">
        <v>0</v>
      </c>
      <c r="I80" s="230">
        <v>0</v>
      </c>
      <c r="J80" s="251">
        <v>3</v>
      </c>
      <c r="K80" s="294"/>
      <c r="L80" s="296"/>
      <c r="M80" s="297"/>
      <c r="N80" s="298">
        <v>39546</v>
      </c>
      <c r="O80" s="299"/>
      <c r="P80" s="300"/>
    </row>
    <row r="81" spans="1:16" x14ac:dyDescent="0.25">
      <c r="A81" s="288" t="s">
        <v>66</v>
      </c>
      <c r="B81" s="286" t="s">
        <v>68</v>
      </c>
      <c r="C81" s="286" t="s">
        <v>518</v>
      </c>
      <c r="D81" s="209">
        <v>296355.76430841745</v>
      </c>
      <c r="E81" s="89">
        <v>168922.78565579792</v>
      </c>
      <c r="F81" s="230">
        <v>168922.78565579792</v>
      </c>
      <c r="G81" s="230">
        <v>0</v>
      </c>
      <c r="H81" s="230">
        <v>0</v>
      </c>
      <c r="I81" s="230">
        <v>0</v>
      </c>
      <c r="J81" s="251">
        <v>4</v>
      </c>
      <c r="K81" s="294"/>
      <c r="L81" s="296"/>
      <c r="M81" s="297"/>
      <c r="N81" s="298"/>
      <c r="O81" s="299">
        <v>168922.78565579792</v>
      </c>
      <c r="P81" s="300"/>
    </row>
    <row r="82" spans="1:16" x14ac:dyDescent="0.25">
      <c r="A82" s="288" t="s">
        <v>66</v>
      </c>
      <c r="B82" s="286" t="s">
        <v>96</v>
      </c>
      <c r="C82" s="286" t="s">
        <v>518</v>
      </c>
      <c r="D82" s="209">
        <v>377278.03169775242</v>
      </c>
      <c r="E82" s="89">
        <v>166002.33394701107</v>
      </c>
      <c r="F82" s="230">
        <v>166002.33394701107</v>
      </c>
      <c r="G82" s="230">
        <v>0</v>
      </c>
      <c r="H82" s="230">
        <v>0</v>
      </c>
      <c r="I82" s="230">
        <v>0</v>
      </c>
      <c r="J82" s="251">
        <v>4</v>
      </c>
      <c r="K82" s="294"/>
      <c r="L82" s="296"/>
      <c r="M82" s="297"/>
      <c r="N82" s="298"/>
      <c r="O82" s="299">
        <v>166002.33394701107</v>
      </c>
      <c r="P82" s="300"/>
    </row>
    <row r="83" spans="1:16" x14ac:dyDescent="0.25">
      <c r="A83" s="288" t="s">
        <v>66</v>
      </c>
      <c r="B83" s="286" t="s">
        <v>75</v>
      </c>
      <c r="C83" s="286" t="s">
        <v>517</v>
      </c>
      <c r="D83" s="209">
        <v>29658.756967592006</v>
      </c>
      <c r="E83" s="89">
        <v>14693.329139907968</v>
      </c>
      <c r="F83" s="230">
        <v>14693.329139907968</v>
      </c>
      <c r="G83" s="230">
        <v>0</v>
      </c>
      <c r="H83" s="230">
        <v>0</v>
      </c>
      <c r="I83" s="230">
        <v>0</v>
      </c>
      <c r="J83" s="251">
        <v>3</v>
      </c>
      <c r="K83" s="294"/>
      <c r="L83" s="296"/>
      <c r="M83" s="297"/>
      <c r="N83" s="298">
        <v>14693.329139907968</v>
      </c>
      <c r="O83" s="299"/>
      <c r="P83" s="300"/>
    </row>
    <row r="84" spans="1:16" x14ac:dyDescent="0.25">
      <c r="A84" s="288" t="s">
        <v>66</v>
      </c>
      <c r="B84" s="286" t="s">
        <v>69</v>
      </c>
      <c r="C84" s="286" t="s">
        <v>518</v>
      </c>
      <c r="D84" s="209">
        <v>113197.46579224875</v>
      </c>
      <c r="E84" s="89">
        <v>45183</v>
      </c>
      <c r="F84" s="230">
        <v>45183</v>
      </c>
      <c r="G84" s="230">
        <v>0</v>
      </c>
      <c r="H84" s="230">
        <v>0</v>
      </c>
      <c r="I84" s="230">
        <v>0</v>
      </c>
      <c r="J84" s="251">
        <v>3</v>
      </c>
      <c r="K84" s="294"/>
      <c r="L84" s="296"/>
      <c r="M84" s="297"/>
      <c r="N84" s="298">
        <v>45183</v>
      </c>
      <c r="O84" s="299"/>
      <c r="P84" s="300"/>
    </row>
    <row r="85" spans="1:16" x14ac:dyDescent="0.25">
      <c r="A85" s="288" t="s">
        <v>66</v>
      </c>
      <c r="B85" s="286" t="s">
        <v>71</v>
      </c>
      <c r="C85" s="286" t="s">
        <v>517</v>
      </c>
      <c r="D85" s="209">
        <v>194648.69330210824</v>
      </c>
      <c r="E85" s="89">
        <v>73685.290181364559</v>
      </c>
      <c r="F85" s="230">
        <v>73685.290181364559</v>
      </c>
      <c r="G85" s="230">
        <v>0</v>
      </c>
      <c r="H85" s="230">
        <v>0</v>
      </c>
      <c r="I85" s="230">
        <v>0</v>
      </c>
      <c r="J85" s="251">
        <v>4</v>
      </c>
      <c r="K85" s="294"/>
      <c r="L85" s="296"/>
      <c r="M85" s="297"/>
      <c r="N85" s="298"/>
      <c r="O85" s="299">
        <v>73685.290181364559</v>
      </c>
      <c r="P85" s="300"/>
    </row>
    <row r="86" spans="1:16" x14ac:dyDescent="0.25">
      <c r="A86" s="288" t="s">
        <v>66</v>
      </c>
      <c r="B86" s="286" t="s">
        <v>95</v>
      </c>
      <c r="C86" s="286" t="s">
        <v>518</v>
      </c>
      <c r="D86" s="209">
        <v>215439.66195545223</v>
      </c>
      <c r="E86" s="89">
        <v>47774</v>
      </c>
      <c r="F86" s="230">
        <v>47774</v>
      </c>
      <c r="G86" s="230">
        <v>0</v>
      </c>
      <c r="H86" s="230">
        <v>0</v>
      </c>
      <c r="I86" s="230">
        <v>0</v>
      </c>
      <c r="J86" s="251">
        <v>3</v>
      </c>
      <c r="K86" s="294"/>
      <c r="L86" s="296"/>
      <c r="M86" s="297"/>
      <c r="N86" s="298">
        <v>47774</v>
      </c>
      <c r="O86" s="299"/>
      <c r="P86" s="300"/>
    </row>
    <row r="87" spans="1:16" x14ac:dyDescent="0.25">
      <c r="A87" s="288" t="s">
        <v>66</v>
      </c>
      <c r="B87" s="286" t="s">
        <v>72</v>
      </c>
      <c r="C87" s="286" t="s">
        <v>517</v>
      </c>
      <c r="D87" s="209">
        <v>124410.43394154956</v>
      </c>
      <c r="E87" s="89">
        <v>40127.928647952998</v>
      </c>
      <c r="F87" s="230">
        <v>40127.928647952998</v>
      </c>
      <c r="G87" s="230">
        <v>0</v>
      </c>
      <c r="H87" s="230">
        <v>0</v>
      </c>
      <c r="I87" s="230">
        <v>0</v>
      </c>
      <c r="J87" s="251">
        <v>3</v>
      </c>
      <c r="K87" s="294"/>
      <c r="L87" s="296"/>
      <c r="M87" s="297"/>
      <c r="N87" s="298">
        <v>40127.928647952998</v>
      </c>
      <c r="O87" s="299"/>
      <c r="P87" s="300"/>
    </row>
    <row r="88" spans="1:16" x14ac:dyDescent="0.25">
      <c r="A88" s="288" t="s">
        <v>66</v>
      </c>
      <c r="B88" s="286" t="s">
        <v>70</v>
      </c>
      <c r="C88" s="286" t="s">
        <v>518</v>
      </c>
      <c r="D88" s="209">
        <v>229039.73218712016</v>
      </c>
      <c r="E88" s="89">
        <v>101580</v>
      </c>
      <c r="F88" s="230">
        <v>101580</v>
      </c>
      <c r="G88" s="230">
        <v>0</v>
      </c>
      <c r="H88" s="230">
        <v>0</v>
      </c>
      <c r="I88" s="230">
        <v>0</v>
      </c>
      <c r="J88" s="251">
        <v>3</v>
      </c>
      <c r="K88" s="294"/>
      <c r="L88" s="296"/>
      <c r="M88" s="297"/>
      <c r="N88" s="298">
        <v>101580</v>
      </c>
      <c r="O88" s="299"/>
      <c r="P88" s="300"/>
    </row>
    <row r="89" spans="1:16" x14ac:dyDescent="0.25">
      <c r="A89" s="288" t="s">
        <v>66</v>
      </c>
      <c r="B89" s="286" t="s">
        <v>73</v>
      </c>
      <c r="C89" s="286" t="s">
        <v>517</v>
      </c>
      <c r="D89" s="209">
        <v>44300.718345747613</v>
      </c>
      <c r="E89" s="89">
        <v>14288.962818556029</v>
      </c>
      <c r="F89" s="230">
        <v>14288.962818556029</v>
      </c>
      <c r="G89" s="230">
        <v>0</v>
      </c>
      <c r="H89" s="230">
        <v>0</v>
      </c>
      <c r="I89" s="230">
        <v>0</v>
      </c>
      <c r="J89" s="251">
        <v>3</v>
      </c>
      <c r="K89" s="294"/>
      <c r="L89" s="296"/>
      <c r="M89" s="297"/>
      <c r="N89" s="298">
        <v>14288.962818556029</v>
      </c>
      <c r="O89" s="299"/>
      <c r="P89" s="300"/>
    </row>
    <row r="90" spans="1:16" x14ac:dyDescent="0.25">
      <c r="A90" s="288" t="s">
        <v>66</v>
      </c>
      <c r="B90" s="286" t="s">
        <v>94</v>
      </c>
      <c r="C90" s="286" t="s">
        <v>518</v>
      </c>
      <c r="D90" s="209">
        <v>95644.374240297329</v>
      </c>
      <c r="E90" s="89">
        <v>25451</v>
      </c>
      <c r="F90" s="230">
        <v>25451</v>
      </c>
      <c r="G90" s="230">
        <v>0</v>
      </c>
      <c r="H90" s="230">
        <v>0</v>
      </c>
      <c r="I90" s="230">
        <v>0</v>
      </c>
      <c r="J90" s="251">
        <v>3</v>
      </c>
      <c r="K90" s="294"/>
      <c r="L90" s="296"/>
      <c r="M90" s="297"/>
      <c r="N90" s="298">
        <v>25451</v>
      </c>
      <c r="O90" s="299"/>
      <c r="P90" s="300"/>
    </row>
    <row r="91" spans="1:16" x14ac:dyDescent="0.25">
      <c r="A91" s="288" t="s">
        <v>66</v>
      </c>
      <c r="B91" s="286" t="s">
        <v>74</v>
      </c>
      <c r="C91" s="286" t="s">
        <v>517</v>
      </c>
      <c r="D91" s="209">
        <v>27009.024335873572</v>
      </c>
      <c r="E91" s="89">
        <v>11788.513637995491</v>
      </c>
      <c r="F91" s="230">
        <v>11788.513637995491</v>
      </c>
      <c r="G91" s="230">
        <v>0</v>
      </c>
      <c r="H91" s="230">
        <v>0</v>
      </c>
      <c r="I91" s="230">
        <v>0</v>
      </c>
      <c r="J91" s="251">
        <v>3</v>
      </c>
      <c r="K91" s="294"/>
      <c r="L91" s="296"/>
      <c r="M91" s="297"/>
      <c r="N91" s="298">
        <v>11788.513637995491</v>
      </c>
      <c r="O91" s="299"/>
      <c r="P91" s="300"/>
    </row>
    <row r="92" spans="1:16" x14ac:dyDescent="0.25">
      <c r="A92" s="288" t="s">
        <v>66</v>
      </c>
      <c r="B92" s="286" t="s">
        <v>93</v>
      </c>
      <c r="C92" s="286" t="s">
        <v>518</v>
      </c>
      <c r="D92" s="209">
        <v>89409.056455932441</v>
      </c>
      <c r="E92" s="89">
        <v>31722</v>
      </c>
      <c r="F92" s="230">
        <v>31722</v>
      </c>
      <c r="G92" s="230">
        <v>0</v>
      </c>
      <c r="H92" s="230">
        <v>0</v>
      </c>
      <c r="I92" s="230">
        <v>0</v>
      </c>
      <c r="J92" s="251">
        <v>3</v>
      </c>
      <c r="K92" s="294"/>
      <c r="L92" s="296"/>
      <c r="M92" s="297"/>
      <c r="N92" s="298">
        <v>31722</v>
      </c>
      <c r="O92" s="299"/>
      <c r="P92" s="300"/>
    </row>
    <row r="93" spans="1:16" x14ac:dyDescent="0.25">
      <c r="A93" s="288" t="s">
        <v>66</v>
      </c>
      <c r="B93" s="286" t="s">
        <v>92</v>
      </c>
      <c r="C93" s="286" t="s">
        <v>517</v>
      </c>
      <c r="D93" s="209">
        <v>55768.919000756068</v>
      </c>
      <c r="E93" s="89">
        <v>24341.222179709475</v>
      </c>
      <c r="F93" s="230">
        <v>24341.222179709475</v>
      </c>
      <c r="G93" s="230">
        <v>0</v>
      </c>
      <c r="H93" s="230">
        <v>0</v>
      </c>
      <c r="I93" s="230">
        <v>0</v>
      </c>
      <c r="J93" s="251">
        <v>3</v>
      </c>
      <c r="K93" s="294"/>
      <c r="L93" s="296"/>
      <c r="M93" s="297"/>
      <c r="N93" s="298">
        <v>24341.222179709475</v>
      </c>
      <c r="O93" s="299"/>
      <c r="P93" s="300"/>
    </row>
    <row r="94" spans="1:16" x14ac:dyDescent="0.25">
      <c r="A94" s="288"/>
      <c r="B94" s="286"/>
      <c r="C94" s="286"/>
      <c r="D94" s="209"/>
      <c r="E94" s="89"/>
      <c r="F94" s="230">
        <v>6811098.8939955505</v>
      </c>
      <c r="G94" s="230">
        <v>9600</v>
      </c>
      <c r="H94" s="230">
        <v>9490</v>
      </c>
      <c r="I94" s="230">
        <v>15405</v>
      </c>
      <c r="J94" s="251"/>
    </row>
  </sheetData>
  <phoneticPr fontId="11" type="noConversion"/>
  <conditionalFormatting sqref="A2:C94">
    <cfRule type="cellIs" dxfId="1" priority="2" operator="equal">
      <formula>$BA$66</formula>
    </cfRule>
  </conditionalFormatting>
  <conditionalFormatting sqref="E3:E93">
    <cfRule type="cellIs" dxfId="0" priority="1" operator="equal">
      <formula>362592</formula>
    </cfRule>
  </conditionalFormatting>
  <pageMargins left="0.7" right="0.7" top="0.75" bottom="0.75" header="0.3" footer="0.3"/>
  <pageSetup orientation="portrait" horizontalDpi="1200" verticalDpi="1200" r:id="rId1"/>
  <tableParts count="4">
    <tablePart r:id="rId2"/>
    <tablePart r:id="rId3"/>
    <tablePart r:id="rId4"/>
    <tablePart r:id="rId5"/>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5FC56-AE6A-4E5D-8FB4-417E119C96BC}">
  <dimension ref="A1:AS230"/>
  <sheetViews>
    <sheetView workbookViewId="0">
      <pane xSplit="1" ySplit="1" topLeftCell="AE206" activePane="bottomRight" state="frozen"/>
      <selection pane="topRight" activeCell="B1" sqref="B1"/>
      <selection pane="bottomLeft" activeCell="A2" sqref="A2"/>
      <selection pane="bottomRight" activeCell="AL218" sqref="AL218"/>
    </sheetView>
  </sheetViews>
  <sheetFormatPr defaultRowHeight="15" x14ac:dyDescent="0.25"/>
  <cols>
    <col min="1" max="1" width="20.42578125" customWidth="1"/>
    <col min="26" max="28" width="8.7109375" style="276"/>
    <col min="38" max="38" width="10.85546875" customWidth="1"/>
    <col min="39" max="39" width="11" customWidth="1"/>
    <col min="40" max="40" width="10.42578125" customWidth="1"/>
    <col min="41" max="41" width="9.5703125" customWidth="1"/>
  </cols>
  <sheetData>
    <row r="1" spans="1:45" x14ac:dyDescent="0.25">
      <c r="A1" s="263" t="s">
        <v>580</v>
      </c>
      <c r="B1" s="348">
        <v>2012</v>
      </c>
      <c r="C1" s="349"/>
      <c r="D1" s="350"/>
      <c r="E1" s="351">
        <v>2013</v>
      </c>
      <c r="F1" s="352"/>
      <c r="G1" s="353"/>
      <c r="H1" s="351">
        <v>2014</v>
      </c>
      <c r="I1" s="352"/>
      <c r="J1" s="353"/>
      <c r="K1" s="351">
        <v>2015</v>
      </c>
      <c r="L1" s="352"/>
      <c r="M1" s="353"/>
      <c r="N1" s="351">
        <v>2016</v>
      </c>
      <c r="O1" s="352"/>
      <c r="P1" s="353"/>
      <c r="Q1" s="351">
        <v>2017</v>
      </c>
      <c r="R1" s="352"/>
      <c r="S1" s="353"/>
      <c r="T1" s="351">
        <v>2018</v>
      </c>
      <c r="U1" s="352"/>
      <c r="V1" s="353"/>
      <c r="W1" s="351">
        <v>2019</v>
      </c>
      <c r="X1" s="352"/>
      <c r="Y1" s="353"/>
      <c r="Z1" s="354">
        <v>2020</v>
      </c>
      <c r="AA1" s="355"/>
      <c r="AB1" s="356"/>
      <c r="AC1" s="351">
        <v>2021</v>
      </c>
      <c r="AD1" s="352"/>
      <c r="AE1" s="353"/>
      <c r="AF1" s="351">
        <v>2022</v>
      </c>
      <c r="AG1" s="352"/>
      <c r="AH1" s="353"/>
    </row>
    <row r="2" spans="1:45" x14ac:dyDescent="0.25">
      <c r="A2" s="263" t="s">
        <v>581</v>
      </c>
      <c r="B2" s="262" t="s">
        <v>3</v>
      </c>
      <c r="C2" s="262" t="s">
        <v>4</v>
      </c>
      <c r="D2" s="262" t="s">
        <v>2</v>
      </c>
      <c r="E2" s="264" t="s">
        <v>582</v>
      </c>
      <c r="F2" s="264" t="s">
        <v>583</v>
      </c>
      <c r="G2" s="264" t="s">
        <v>2</v>
      </c>
      <c r="H2" s="264" t="s">
        <v>582</v>
      </c>
      <c r="I2" s="264" t="s">
        <v>583</v>
      </c>
      <c r="J2" s="264" t="s">
        <v>2</v>
      </c>
      <c r="K2" s="264" t="s">
        <v>582</v>
      </c>
      <c r="L2" s="264" t="s">
        <v>583</v>
      </c>
      <c r="M2" s="264" t="s">
        <v>2</v>
      </c>
      <c r="N2" s="264" t="s">
        <v>582</v>
      </c>
      <c r="O2" s="264" t="s">
        <v>583</v>
      </c>
      <c r="P2" s="264" t="s">
        <v>2</v>
      </c>
      <c r="Q2" s="264" t="s">
        <v>582</v>
      </c>
      <c r="R2" s="264" t="s">
        <v>583</v>
      </c>
      <c r="S2" s="264" t="s">
        <v>2</v>
      </c>
      <c r="T2" s="264" t="s">
        <v>582</v>
      </c>
      <c r="U2" s="264" t="s">
        <v>583</v>
      </c>
      <c r="V2" s="264" t="s">
        <v>2</v>
      </c>
      <c r="W2" s="264" t="s">
        <v>582</v>
      </c>
      <c r="X2" s="264" t="s">
        <v>583</v>
      </c>
      <c r="Y2" s="264" t="s">
        <v>2</v>
      </c>
      <c r="Z2" s="265" t="s">
        <v>582</v>
      </c>
      <c r="AA2" s="265" t="s">
        <v>583</v>
      </c>
      <c r="AB2" s="265" t="s">
        <v>2</v>
      </c>
      <c r="AC2" s="264" t="s">
        <v>582</v>
      </c>
      <c r="AD2" s="264" t="s">
        <v>583</v>
      </c>
      <c r="AE2" s="264" t="s">
        <v>2</v>
      </c>
      <c r="AF2" s="264" t="s">
        <v>582</v>
      </c>
      <c r="AG2" s="264" t="s">
        <v>583</v>
      </c>
      <c r="AH2" s="264" t="s">
        <v>2</v>
      </c>
      <c r="AI2" t="s">
        <v>3</v>
      </c>
      <c r="AJ2" t="s">
        <v>4</v>
      </c>
      <c r="AK2" t="s">
        <v>584</v>
      </c>
      <c r="AL2" t="s">
        <v>631</v>
      </c>
      <c r="AM2" t="s">
        <v>632</v>
      </c>
      <c r="AN2" t="s">
        <v>633</v>
      </c>
      <c r="AO2" t="s">
        <v>585</v>
      </c>
      <c r="AP2" t="s">
        <v>586</v>
      </c>
      <c r="AQ2" t="s">
        <v>587</v>
      </c>
      <c r="AR2" t="s">
        <v>624</v>
      </c>
      <c r="AS2" t="s">
        <v>588</v>
      </c>
    </row>
    <row r="3" spans="1:45" x14ac:dyDescent="0.25">
      <c r="A3" s="11" t="s">
        <v>589</v>
      </c>
      <c r="B3" s="11">
        <v>42035</v>
      </c>
      <c r="C3" s="11">
        <v>42674</v>
      </c>
      <c r="D3" s="11">
        <v>84709</v>
      </c>
      <c r="E3" s="266">
        <f>B3*1.01</f>
        <v>42455.35</v>
      </c>
      <c r="F3" s="266">
        <f>C3*1.01</f>
        <v>43100.74</v>
      </c>
      <c r="G3" s="266">
        <f>D3*1.01</f>
        <v>85556.09</v>
      </c>
      <c r="H3" s="266">
        <f>B3*1.01^2</f>
        <v>42879.9035</v>
      </c>
      <c r="I3" s="266">
        <f>C3*1.01^2</f>
        <v>43531.7474</v>
      </c>
      <c r="J3" s="266">
        <f>D3*1.01^2</f>
        <v>86411.650900000008</v>
      </c>
      <c r="K3" s="266">
        <f>B3*1.01^3</f>
        <v>43308.702534999997</v>
      </c>
      <c r="L3" s="266">
        <f>C3*1.01^3</f>
        <v>43967.064873999996</v>
      </c>
      <c r="M3" s="266">
        <f>D3*1.01^3</f>
        <v>87275.767408999993</v>
      </c>
      <c r="N3" s="266">
        <f>B3*1.01^4</f>
        <v>43741.78956035</v>
      </c>
      <c r="O3" s="266">
        <f>C3*1.01^4</f>
        <v>44406.735522740004</v>
      </c>
      <c r="P3" s="266">
        <f>D3*1.01^4</f>
        <v>88148.525083090004</v>
      </c>
      <c r="Q3" s="266">
        <f>B3*1.01^5</f>
        <v>44179.207455953496</v>
      </c>
      <c r="R3" s="266">
        <f>C3*1.01^5</f>
        <v>44850.802877967399</v>
      </c>
      <c r="S3" s="266">
        <f>D3*1.01^5</f>
        <v>89030.010333920887</v>
      </c>
      <c r="T3" s="266">
        <f>B3*1.01^6</f>
        <v>44620.999530513043</v>
      </c>
      <c r="U3" s="266">
        <f>C3*1.01^6</f>
        <v>45299.31090674708</v>
      </c>
      <c r="V3" s="266">
        <f>D3*1.01^6</f>
        <v>89920.310437260123</v>
      </c>
      <c r="W3" s="266">
        <f>B3*1.01^7</f>
        <v>45067.209525818158</v>
      </c>
      <c r="X3" s="266">
        <f>P3*1.01^7</f>
        <v>94507.149977672292</v>
      </c>
      <c r="Y3" s="266">
        <f>C3*1.01^7</f>
        <v>45752.304015814538</v>
      </c>
      <c r="Z3" s="267">
        <f>B3*1.01^8</f>
        <v>45517.881621076354</v>
      </c>
      <c r="AA3" s="267">
        <f>C3*1.01^8</f>
        <v>46209.827055972695</v>
      </c>
      <c r="AB3" s="267">
        <f>D3*1.01^8</f>
        <v>91727.708677049042</v>
      </c>
      <c r="AC3" s="266">
        <f>B3*1.01^9</f>
        <v>45973.060437287117</v>
      </c>
      <c r="AD3" s="266">
        <f>C3*1.01^9</f>
        <v>46671.92532653243</v>
      </c>
      <c r="AE3" s="266">
        <f>D3*1.01^9</f>
        <v>92644.985763819539</v>
      </c>
      <c r="AF3" s="266">
        <f>B3*1.01^10</f>
        <v>46432.791041659992</v>
      </c>
      <c r="AG3" s="268">
        <f>C3*1.01^10</f>
        <v>47138.64457979775</v>
      </c>
      <c r="AH3" s="266">
        <f>D3*1.01^10</f>
        <v>93571.435621457742</v>
      </c>
      <c r="AI3" s="6">
        <f>Z20/AB20</f>
        <v>0.46430249626150055</v>
      </c>
      <c r="AJ3" s="6">
        <f>AA20/AB20</f>
        <v>0.53569750373849945</v>
      </c>
      <c r="AK3" s="6">
        <f>AB3/AB20</f>
        <v>0.12965590499236992</v>
      </c>
      <c r="AL3" s="6">
        <f>SUM(AB3:AB5)/AB20</f>
        <v>0.33963788978735321</v>
      </c>
      <c r="AM3" s="6">
        <f>SUM(Z3:Z5)/Z20</f>
        <v>0.35588074344148268</v>
      </c>
      <c r="AN3" s="6">
        <f>SUM(AA3:AA5)/AA20</f>
        <v>0.32555980010914565</v>
      </c>
      <c r="AO3" s="6">
        <f>SUM(AB3:AB6)/AB20</f>
        <v>0.45933874860906387</v>
      </c>
      <c r="AP3" s="6">
        <f>SUM(AA6:AA12)/AA20</f>
        <v>0.56177730284493033</v>
      </c>
      <c r="AQ3" s="6">
        <f>SUM(Z6:Z12)/Z20</f>
        <v>0.53621607009817174</v>
      </c>
      <c r="AR3" s="6"/>
      <c r="AS3" s="6">
        <f>SUM(AB16:AB18)/AB20</f>
        <v>3.3019712644469852E-2</v>
      </c>
    </row>
    <row r="4" spans="1:45" x14ac:dyDescent="0.25">
      <c r="A4" s="269" t="s">
        <v>590</v>
      </c>
      <c r="B4" s="11">
        <v>32980</v>
      </c>
      <c r="C4" s="11">
        <v>34699</v>
      </c>
      <c r="D4" s="11">
        <v>67679</v>
      </c>
      <c r="E4" s="266">
        <f t="shared" ref="E4:G20" si="0">B4*1.01</f>
        <v>33309.800000000003</v>
      </c>
      <c r="F4" s="266">
        <f t="shared" si="0"/>
        <v>35045.99</v>
      </c>
      <c r="G4" s="266">
        <f t="shared" si="0"/>
        <v>68355.789999999994</v>
      </c>
      <c r="H4" s="266">
        <f t="shared" ref="H4:J20" si="1">B4*1.01^2</f>
        <v>33642.898000000001</v>
      </c>
      <c r="I4" s="266">
        <f t="shared" si="1"/>
        <v>35396.4499</v>
      </c>
      <c r="J4" s="266">
        <f t="shared" si="1"/>
        <v>69039.347899999993</v>
      </c>
      <c r="K4" s="266">
        <f t="shared" ref="K4:M20" si="2">B4*1.01^3</f>
        <v>33979.326979999998</v>
      </c>
      <c r="L4" s="266">
        <f t="shared" si="2"/>
        <v>35750.414398999994</v>
      </c>
      <c r="M4" s="266">
        <f t="shared" si="2"/>
        <v>69729.741378999999</v>
      </c>
      <c r="N4" s="266">
        <f t="shared" ref="N4:P20" si="3">B4*1.01^4</f>
        <v>34319.120249799998</v>
      </c>
      <c r="O4" s="266">
        <f t="shared" si="3"/>
        <v>36107.918542990003</v>
      </c>
      <c r="P4" s="266">
        <f t="shared" si="3"/>
        <v>70427.038792790001</v>
      </c>
      <c r="Q4" s="266">
        <f t="shared" ref="Q4:S20" si="4">B4*1.01^5</f>
        <v>34662.311452297996</v>
      </c>
      <c r="R4" s="266">
        <f t="shared" si="4"/>
        <v>36468.997728419898</v>
      </c>
      <c r="S4" s="266">
        <f t="shared" si="4"/>
        <v>71131.309180717901</v>
      </c>
      <c r="T4" s="266">
        <f t="shared" ref="T4:V20" si="5">B4*1.01^6</f>
        <v>35008.934566820986</v>
      </c>
      <c r="U4" s="266">
        <f t="shared" si="5"/>
        <v>36833.687705704106</v>
      </c>
      <c r="V4" s="266">
        <f t="shared" si="5"/>
        <v>71842.622272525085</v>
      </c>
      <c r="W4" s="266">
        <f t="shared" ref="W4:W20" si="6">B4*1.01^7</f>
        <v>35359.023912489181</v>
      </c>
      <c r="X4" s="266">
        <f t="shared" ref="X4:X20" si="7">P4*1.01^7</f>
        <v>75507.318033961943</v>
      </c>
      <c r="Y4" s="266">
        <f t="shared" ref="Y4:Y20" si="8">C4*1.01^7</f>
        <v>37202.024582761136</v>
      </c>
      <c r="Z4" s="267">
        <f t="shared" ref="Z4:AB20" si="9">B4*1.01^8</f>
        <v>35712.614151614085</v>
      </c>
      <c r="AA4" s="267">
        <f t="shared" si="9"/>
        <v>37574.044828588754</v>
      </c>
      <c r="AB4" s="267">
        <f t="shared" si="9"/>
        <v>73286.658980202847</v>
      </c>
      <c r="AC4" s="266">
        <f t="shared" ref="AC4:AE20" si="10">B4*1.01^9</f>
        <v>36069.740293130228</v>
      </c>
      <c r="AD4" s="266">
        <f t="shared" si="10"/>
        <v>37949.785276874645</v>
      </c>
      <c r="AE4" s="266">
        <f t="shared" si="10"/>
        <v>74019.525570004873</v>
      </c>
      <c r="AF4" s="266">
        <f t="shared" ref="AF4:AH20" si="11">B4*1.01^10</f>
        <v>36430.437696061534</v>
      </c>
      <c r="AG4" s="268">
        <f t="shared" si="11"/>
        <v>38329.283129643394</v>
      </c>
      <c r="AH4" s="266">
        <f t="shared" si="11"/>
        <v>74759.720825704921</v>
      </c>
    </row>
    <row r="5" spans="1:45" x14ac:dyDescent="0.25">
      <c r="A5" s="269" t="s">
        <v>591</v>
      </c>
      <c r="B5" s="11">
        <v>32940</v>
      </c>
      <c r="C5" s="11">
        <v>36570</v>
      </c>
      <c r="D5" s="11">
        <v>69510</v>
      </c>
      <c r="E5" s="266">
        <f t="shared" si="0"/>
        <v>33269.4</v>
      </c>
      <c r="F5" s="266">
        <f t="shared" si="0"/>
        <v>36935.699999999997</v>
      </c>
      <c r="G5" s="266">
        <f t="shared" si="0"/>
        <v>70205.100000000006</v>
      </c>
      <c r="H5" s="266">
        <f t="shared" si="1"/>
        <v>33602.093999999997</v>
      </c>
      <c r="I5" s="266">
        <f t="shared" si="1"/>
        <v>37305.057000000001</v>
      </c>
      <c r="J5" s="266">
        <f t="shared" si="1"/>
        <v>70907.150999999998</v>
      </c>
      <c r="K5" s="266">
        <f t="shared" si="2"/>
        <v>33938.114939999999</v>
      </c>
      <c r="L5" s="266">
        <f t="shared" si="2"/>
        <v>37678.10757</v>
      </c>
      <c r="M5" s="266">
        <f t="shared" si="2"/>
        <v>71616.222509999992</v>
      </c>
      <c r="N5" s="266">
        <f t="shared" si="3"/>
        <v>34277.496089400003</v>
      </c>
      <c r="O5" s="266">
        <f t="shared" si="3"/>
        <v>38054.888645700004</v>
      </c>
      <c r="P5" s="266">
        <f t="shared" si="3"/>
        <v>72332.3847351</v>
      </c>
      <c r="Q5" s="266">
        <f t="shared" si="4"/>
        <v>34620.271050293995</v>
      </c>
      <c r="R5" s="266">
        <f t="shared" si="4"/>
        <v>38435.437532156997</v>
      </c>
      <c r="S5" s="266">
        <f t="shared" si="4"/>
        <v>73055.708582451</v>
      </c>
      <c r="T5" s="266">
        <f t="shared" si="5"/>
        <v>34966.473760796944</v>
      </c>
      <c r="U5" s="266">
        <f t="shared" si="5"/>
        <v>38819.791907478575</v>
      </c>
      <c r="V5" s="266">
        <f t="shared" si="5"/>
        <v>73786.265668275519</v>
      </c>
      <c r="W5" s="266">
        <f t="shared" si="6"/>
        <v>35316.138498404907</v>
      </c>
      <c r="X5" s="266">
        <f>P5*1.01^7</f>
        <v>77550.106776706147</v>
      </c>
      <c r="Y5" s="266">
        <f t="shared" si="8"/>
        <v>39207.989826553348</v>
      </c>
      <c r="Z5" s="267">
        <f t="shared" si="9"/>
        <v>35669.299883388965</v>
      </c>
      <c r="AA5" s="267">
        <f t="shared" si="9"/>
        <v>39600.069724818895</v>
      </c>
      <c r="AB5" s="267">
        <f t="shared" si="9"/>
        <v>75269.369608207853</v>
      </c>
      <c r="AC5" s="266">
        <f t="shared" si="10"/>
        <v>36025.992882222854</v>
      </c>
      <c r="AD5" s="266">
        <f t="shared" si="10"/>
        <v>39996.070422067089</v>
      </c>
      <c r="AE5" s="266">
        <f t="shared" si="10"/>
        <v>76022.063304289943</v>
      </c>
      <c r="AF5" s="266">
        <f t="shared" si="11"/>
        <v>36386.252811045088</v>
      </c>
      <c r="AG5" s="268">
        <f t="shared" si="11"/>
        <v>40396.031126287759</v>
      </c>
      <c r="AH5" s="266">
        <f t="shared" si="11"/>
        <v>76782.283937332846</v>
      </c>
    </row>
    <row r="6" spans="1:45" x14ac:dyDescent="0.25">
      <c r="A6" s="11" t="s">
        <v>592</v>
      </c>
      <c r="B6" s="11">
        <v>33923</v>
      </c>
      <c r="C6" s="11">
        <v>44282</v>
      </c>
      <c r="D6" s="11">
        <v>78205</v>
      </c>
      <c r="E6" s="266">
        <f t="shared" si="0"/>
        <v>34262.230000000003</v>
      </c>
      <c r="F6" s="266">
        <f t="shared" si="0"/>
        <v>44724.82</v>
      </c>
      <c r="G6" s="266">
        <f t="shared" si="0"/>
        <v>78987.05</v>
      </c>
      <c r="H6" s="266">
        <f t="shared" si="1"/>
        <v>34604.852299999999</v>
      </c>
      <c r="I6" s="266">
        <f t="shared" si="1"/>
        <v>45172.068200000002</v>
      </c>
      <c r="J6" s="266">
        <f t="shared" si="1"/>
        <v>79776.920500000007</v>
      </c>
      <c r="K6" s="266">
        <f t="shared" si="2"/>
        <v>34950.900822999996</v>
      </c>
      <c r="L6" s="266">
        <f t="shared" si="2"/>
        <v>45623.788881999993</v>
      </c>
      <c r="M6" s="266">
        <f t="shared" si="2"/>
        <v>80574.689704999997</v>
      </c>
      <c r="N6" s="266">
        <f t="shared" si="3"/>
        <v>35300.409831229998</v>
      </c>
      <c r="O6" s="266">
        <f t="shared" si="3"/>
        <v>46080.026770820004</v>
      </c>
      <c r="P6" s="266">
        <f t="shared" si="3"/>
        <v>81380.436602050002</v>
      </c>
      <c r="Q6" s="266">
        <f t="shared" si="4"/>
        <v>35653.413929542301</v>
      </c>
      <c r="R6" s="266">
        <f t="shared" si="4"/>
        <v>46540.827038528194</v>
      </c>
      <c r="S6" s="266">
        <f t="shared" si="4"/>
        <v>82194.240968070488</v>
      </c>
      <c r="T6" s="266">
        <f t="shared" si="5"/>
        <v>36009.94806883773</v>
      </c>
      <c r="U6" s="266">
        <f t="shared" si="5"/>
        <v>47006.235308913485</v>
      </c>
      <c r="V6" s="266">
        <f t="shared" si="5"/>
        <v>83016.183377751222</v>
      </c>
      <c r="W6" s="266">
        <f t="shared" si="6"/>
        <v>36370.047549526098</v>
      </c>
      <c r="X6" s="266">
        <f t="shared" si="7"/>
        <v>87250.843050961063</v>
      </c>
      <c r="Y6" s="266">
        <f t="shared" si="8"/>
        <v>47476.297662002609</v>
      </c>
      <c r="Z6" s="267">
        <f t="shared" si="9"/>
        <v>36733.748025021363</v>
      </c>
      <c r="AA6" s="267">
        <f t="shared" si="9"/>
        <v>47951.06063862265</v>
      </c>
      <c r="AB6" s="267">
        <f t="shared" si="9"/>
        <v>84684.808663644013</v>
      </c>
      <c r="AC6" s="266">
        <f t="shared" si="10"/>
        <v>37101.085505271585</v>
      </c>
      <c r="AD6" s="266">
        <f t="shared" si="10"/>
        <v>48430.571245008876</v>
      </c>
      <c r="AE6" s="266">
        <f t="shared" si="10"/>
        <v>85531.656750280454</v>
      </c>
      <c r="AF6" s="266">
        <f t="shared" si="11"/>
        <v>37472.0963603243</v>
      </c>
      <c r="AG6" s="268">
        <f t="shared" si="11"/>
        <v>48914.876957458968</v>
      </c>
      <c r="AH6" s="266">
        <f t="shared" si="11"/>
        <v>86386.973317783268</v>
      </c>
    </row>
    <row r="7" spans="1:45" x14ac:dyDescent="0.25">
      <c r="A7" s="11" t="s">
        <v>593</v>
      </c>
      <c r="B7" s="11">
        <v>31803</v>
      </c>
      <c r="C7" s="11">
        <v>41436</v>
      </c>
      <c r="D7" s="11">
        <v>73239</v>
      </c>
      <c r="E7" s="266">
        <f t="shared" si="0"/>
        <v>32121.03</v>
      </c>
      <c r="F7" s="266">
        <f t="shared" si="0"/>
        <v>41850.36</v>
      </c>
      <c r="G7" s="266">
        <f t="shared" si="0"/>
        <v>73971.39</v>
      </c>
      <c r="H7" s="266">
        <f t="shared" si="1"/>
        <v>32442.240300000001</v>
      </c>
      <c r="I7" s="266">
        <f t="shared" si="1"/>
        <v>42268.863599999997</v>
      </c>
      <c r="J7" s="266">
        <f t="shared" si="1"/>
        <v>74711.103900000002</v>
      </c>
      <c r="K7" s="266">
        <f t="shared" si="2"/>
        <v>32766.662702999998</v>
      </c>
      <c r="L7" s="266">
        <f t="shared" si="2"/>
        <v>42691.552235999996</v>
      </c>
      <c r="M7" s="266">
        <f t="shared" si="2"/>
        <v>75458.214938999998</v>
      </c>
      <c r="N7" s="266">
        <f t="shared" si="3"/>
        <v>33094.329330029999</v>
      </c>
      <c r="O7" s="266">
        <f t="shared" si="3"/>
        <v>43118.467758359999</v>
      </c>
      <c r="P7" s="266">
        <f t="shared" si="3"/>
        <v>76212.797088389998</v>
      </c>
      <c r="Q7" s="266">
        <f t="shared" si="4"/>
        <v>33425.272623330296</v>
      </c>
      <c r="R7" s="266">
        <f t="shared" si="4"/>
        <v>43549.652435943593</v>
      </c>
      <c r="S7" s="266">
        <f t="shared" si="4"/>
        <v>76974.925059273897</v>
      </c>
      <c r="T7" s="266">
        <f t="shared" si="5"/>
        <v>33759.525349563606</v>
      </c>
      <c r="U7" s="266">
        <f t="shared" si="5"/>
        <v>43985.148960303042</v>
      </c>
      <c r="V7" s="266">
        <f t="shared" si="5"/>
        <v>77744.674309866648</v>
      </c>
      <c r="W7" s="266">
        <f t="shared" si="6"/>
        <v>34097.120603059237</v>
      </c>
      <c r="X7" s="266">
        <f t="shared" si="7"/>
        <v>81710.434041421104</v>
      </c>
      <c r="Y7" s="266">
        <f t="shared" si="8"/>
        <v>44425.00044990606</v>
      </c>
      <c r="Z7" s="267">
        <f t="shared" si="9"/>
        <v>34438.091809089834</v>
      </c>
      <c r="AA7" s="267">
        <f t="shared" si="9"/>
        <v>44869.250454405133</v>
      </c>
      <c r="AB7" s="267">
        <f t="shared" si="9"/>
        <v>79307.342263494967</v>
      </c>
      <c r="AC7" s="266">
        <f t="shared" si="10"/>
        <v>34782.472727180735</v>
      </c>
      <c r="AD7" s="266">
        <f t="shared" si="10"/>
        <v>45317.942958949185</v>
      </c>
      <c r="AE7" s="266">
        <f t="shared" si="10"/>
        <v>80100.415686129927</v>
      </c>
      <c r="AF7" s="266">
        <f t="shared" si="11"/>
        <v>35130.297454452542</v>
      </c>
      <c r="AG7" s="268">
        <f t="shared" si="11"/>
        <v>45771.122388538679</v>
      </c>
      <c r="AH7" s="266">
        <f t="shared" si="11"/>
        <v>80901.419842991221</v>
      </c>
    </row>
    <row r="8" spans="1:45" x14ac:dyDescent="0.25">
      <c r="A8" s="11" t="s">
        <v>594</v>
      </c>
      <c r="B8" s="11">
        <v>28817</v>
      </c>
      <c r="C8" s="11">
        <v>35261</v>
      </c>
      <c r="D8" s="11">
        <v>64078</v>
      </c>
      <c r="E8" s="266">
        <f t="shared" si="0"/>
        <v>29105.170000000002</v>
      </c>
      <c r="F8" s="266">
        <f t="shared" si="0"/>
        <v>35613.61</v>
      </c>
      <c r="G8" s="266">
        <f t="shared" si="0"/>
        <v>64718.78</v>
      </c>
      <c r="H8" s="266">
        <f t="shared" si="1"/>
        <v>29396.221700000002</v>
      </c>
      <c r="I8" s="266">
        <f t="shared" si="1"/>
        <v>35969.746099999997</v>
      </c>
      <c r="J8" s="266">
        <f t="shared" si="1"/>
        <v>65365.967799999999</v>
      </c>
      <c r="K8" s="266">
        <f t="shared" si="2"/>
        <v>29690.183916999998</v>
      </c>
      <c r="L8" s="266">
        <f t="shared" si="2"/>
        <v>36329.443561</v>
      </c>
      <c r="M8" s="266">
        <f t="shared" si="2"/>
        <v>66019.627477999995</v>
      </c>
      <c r="N8" s="266">
        <f t="shared" si="3"/>
        <v>29987.08575617</v>
      </c>
      <c r="O8" s="266">
        <f t="shared" si="3"/>
        <v>36692.737996609998</v>
      </c>
      <c r="P8" s="266">
        <f t="shared" si="3"/>
        <v>66679.823752780008</v>
      </c>
      <c r="Q8" s="266">
        <f t="shared" si="4"/>
        <v>30286.956613731698</v>
      </c>
      <c r="R8" s="266">
        <f t="shared" si="4"/>
        <v>37059.6653765761</v>
      </c>
      <c r="S8" s="266">
        <f t="shared" si="4"/>
        <v>67346.621990307802</v>
      </c>
      <c r="T8" s="266">
        <f t="shared" si="5"/>
        <v>30589.826179869022</v>
      </c>
      <c r="U8" s="266">
        <f t="shared" si="5"/>
        <v>37430.262030341866</v>
      </c>
      <c r="V8" s="266">
        <f t="shared" si="5"/>
        <v>68020.088210210888</v>
      </c>
      <c r="W8" s="266">
        <f t="shared" si="6"/>
        <v>30895.724441667702</v>
      </c>
      <c r="X8" s="266">
        <f t="shared" si="7"/>
        <v>71489.796317620145</v>
      </c>
      <c r="Y8" s="266">
        <f t="shared" si="8"/>
        <v>37804.564650645276</v>
      </c>
      <c r="Z8" s="267">
        <f t="shared" si="9"/>
        <v>31204.681686084386</v>
      </c>
      <c r="AA8" s="267">
        <f t="shared" si="9"/>
        <v>38182.610297151739</v>
      </c>
      <c r="AB8" s="267">
        <f t="shared" si="9"/>
        <v>69387.291983236122</v>
      </c>
      <c r="AC8" s="266">
        <f t="shared" si="10"/>
        <v>31516.728502945232</v>
      </c>
      <c r="AD8" s="266">
        <f t="shared" si="10"/>
        <v>38564.436400123261</v>
      </c>
      <c r="AE8" s="266">
        <f t="shared" si="10"/>
        <v>70081.164903068493</v>
      </c>
      <c r="AF8" s="266">
        <f t="shared" si="11"/>
        <v>31831.895787974689</v>
      </c>
      <c r="AG8" s="268">
        <f t="shared" si="11"/>
        <v>38950.08076412449</v>
      </c>
      <c r="AH8" s="266">
        <f t="shared" si="11"/>
        <v>70781.976552099179</v>
      </c>
    </row>
    <row r="9" spans="1:45" x14ac:dyDescent="0.25">
      <c r="A9" s="11" t="s">
        <v>595</v>
      </c>
      <c r="B9" s="11">
        <v>23831</v>
      </c>
      <c r="C9" s="11">
        <v>26829</v>
      </c>
      <c r="D9" s="11">
        <v>50660</v>
      </c>
      <c r="E9" s="266">
        <f t="shared" si="0"/>
        <v>24069.31</v>
      </c>
      <c r="F9" s="266">
        <f t="shared" si="0"/>
        <v>27097.29</v>
      </c>
      <c r="G9" s="266">
        <f t="shared" si="0"/>
        <v>51166.6</v>
      </c>
      <c r="H9" s="266">
        <f t="shared" si="1"/>
        <v>24310.003100000002</v>
      </c>
      <c r="I9" s="266">
        <f t="shared" si="1"/>
        <v>27368.262900000002</v>
      </c>
      <c r="J9" s="266">
        <f t="shared" si="1"/>
        <v>51678.266000000003</v>
      </c>
      <c r="K9" s="266">
        <f t="shared" si="2"/>
        <v>24553.103130999996</v>
      </c>
      <c r="L9" s="266">
        <f t="shared" si="2"/>
        <v>27641.945528999997</v>
      </c>
      <c r="M9" s="266">
        <f t="shared" si="2"/>
        <v>52195.048659999993</v>
      </c>
      <c r="N9" s="266">
        <f t="shared" si="3"/>
        <v>24798.634162310002</v>
      </c>
      <c r="O9" s="266">
        <f t="shared" si="3"/>
        <v>27918.364984290001</v>
      </c>
      <c r="P9" s="266">
        <f t="shared" si="3"/>
        <v>52716.999146599999</v>
      </c>
      <c r="Q9" s="266">
        <f t="shared" si="4"/>
        <v>25046.6205039331</v>
      </c>
      <c r="R9" s="266">
        <f t="shared" si="4"/>
        <v>28197.548634132898</v>
      </c>
      <c r="S9" s="266">
        <f t="shared" si="4"/>
        <v>53244.169138065998</v>
      </c>
      <c r="T9" s="266">
        <f t="shared" si="5"/>
        <v>25297.086708972434</v>
      </c>
      <c r="U9" s="266">
        <f t="shared" si="5"/>
        <v>28479.524120474234</v>
      </c>
      <c r="V9" s="266">
        <f t="shared" si="5"/>
        <v>53776.610829446669</v>
      </c>
      <c r="W9" s="266">
        <f t="shared" si="6"/>
        <v>25550.05757606215</v>
      </c>
      <c r="X9" s="266">
        <f t="shared" si="7"/>
        <v>56519.758442064929</v>
      </c>
      <c r="Y9" s="266">
        <f t="shared" si="8"/>
        <v>28764.319361678969</v>
      </c>
      <c r="Z9" s="267">
        <f t="shared" si="9"/>
        <v>25805.558151822781</v>
      </c>
      <c r="AA9" s="267">
        <f t="shared" si="9"/>
        <v>29051.962555295766</v>
      </c>
      <c r="AB9" s="267">
        <f t="shared" si="9"/>
        <v>54857.520707118543</v>
      </c>
      <c r="AC9" s="266">
        <f t="shared" si="10"/>
        <v>26063.613733341008</v>
      </c>
      <c r="AD9" s="266">
        <f t="shared" si="10"/>
        <v>29342.482180848725</v>
      </c>
      <c r="AE9" s="266">
        <f t="shared" si="10"/>
        <v>55406.095914189733</v>
      </c>
      <c r="AF9" s="266">
        <f t="shared" si="11"/>
        <v>26324.249870674419</v>
      </c>
      <c r="AG9" s="268">
        <f t="shared" si="11"/>
        <v>29635.907002657212</v>
      </c>
      <c r="AH9" s="266">
        <f t="shared" si="11"/>
        <v>55960.156873331631</v>
      </c>
    </row>
    <row r="10" spans="1:45" x14ac:dyDescent="0.25">
      <c r="A10" s="11" t="s">
        <v>596</v>
      </c>
      <c r="B10" s="11">
        <v>18691</v>
      </c>
      <c r="C10" s="11">
        <v>20304</v>
      </c>
      <c r="D10" s="11">
        <v>38995</v>
      </c>
      <c r="E10" s="266">
        <f t="shared" si="0"/>
        <v>18877.91</v>
      </c>
      <c r="F10" s="266">
        <f t="shared" si="0"/>
        <v>20507.04</v>
      </c>
      <c r="G10" s="266">
        <f t="shared" si="0"/>
        <v>39384.949999999997</v>
      </c>
      <c r="H10" s="266">
        <f t="shared" si="1"/>
        <v>19066.6891</v>
      </c>
      <c r="I10" s="266">
        <f t="shared" si="1"/>
        <v>20712.110400000001</v>
      </c>
      <c r="J10" s="266">
        <f t="shared" si="1"/>
        <v>39778.799500000001</v>
      </c>
      <c r="K10" s="266">
        <f t="shared" si="2"/>
        <v>19257.355990999997</v>
      </c>
      <c r="L10" s="266">
        <f t="shared" si="2"/>
        <v>20919.231503999999</v>
      </c>
      <c r="M10" s="266">
        <f t="shared" si="2"/>
        <v>40176.587495</v>
      </c>
      <c r="N10" s="266">
        <f t="shared" si="3"/>
        <v>19449.929550910001</v>
      </c>
      <c r="O10" s="266">
        <f t="shared" si="3"/>
        <v>21128.423819039999</v>
      </c>
      <c r="P10" s="266">
        <f t="shared" si="3"/>
        <v>40578.353369950004</v>
      </c>
      <c r="Q10" s="266">
        <f t="shared" si="4"/>
        <v>19644.428846419098</v>
      </c>
      <c r="R10" s="266">
        <f t="shared" si="4"/>
        <v>21339.7080572304</v>
      </c>
      <c r="S10" s="266">
        <f t="shared" si="4"/>
        <v>40984.136903649494</v>
      </c>
      <c r="T10" s="266">
        <f t="shared" si="5"/>
        <v>19840.873134883295</v>
      </c>
      <c r="U10" s="266">
        <f t="shared" si="5"/>
        <v>21553.105137802708</v>
      </c>
      <c r="V10" s="266">
        <f t="shared" si="5"/>
        <v>41393.978272685999</v>
      </c>
      <c r="W10" s="266">
        <f t="shared" si="6"/>
        <v>20039.281866232122</v>
      </c>
      <c r="X10" s="266">
        <f t="shared" si="7"/>
        <v>43505.487178214018</v>
      </c>
      <c r="Y10" s="266">
        <f t="shared" si="8"/>
        <v>21768.636189180728</v>
      </c>
      <c r="Z10" s="267">
        <f t="shared" si="9"/>
        <v>20239.674684894446</v>
      </c>
      <c r="AA10" s="267">
        <f t="shared" si="9"/>
        <v>21986.322551072542</v>
      </c>
      <c r="AB10" s="267">
        <f t="shared" si="9"/>
        <v>42225.997235966992</v>
      </c>
      <c r="AC10" s="266">
        <f t="shared" si="10"/>
        <v>20442.071431743392</v>
      </c>
      <c r="AD10" s="266">
        <f t="shared" si="10"/>
        <v>22206.185776583268</v>
      </c>
      <c r="AE10" s="266">
        <f t="shared" si="10"/>
        <v>42648.257208326664</v>
      </c>
      <c r="AF10" s="266">
        <f t="shared" si="11"/>
        <v>20646.492146060828</v>
      </c>
      <c r="AG10" s="268">
        <f t="shared" si="11"/>
        <v>22428.2476343491</v>
      </c>
      <c r="AH10" s="266">
        <f t="shared" si="11"/>
        <v>43074.739780409931</v>
      </c>
    </row>
    <row r="11" spans="1:45" x14ac:dyDescent="0.25">
      <c r="A11" s="11" t="s">
        <v>597</v>
      </c>
      <c r="B11" s="11">
        <v>15119</v>
      </c>
      <c r="C11" s="11">
        <v>15729</v>
      </c>
      <c r="D11" s="11">
        <v>30848</v>
      </c>
      <c r="E11" s="266">
        <f t="shared" si="0"/>
        <v>15270.19</v>
      </c>
      <c r="F11" s="266">
        <f t="shared" si="0"/>
        <v>15886.29</v>
      </c>
      <c r="G11" s="266">
        <f t="shared" si="0"/>
        <v>31156.48</v>
      </c>
      <c r="H11" s="266">
        <f t="shared" si="1"/>
        <v>15422.891900000001</v>
      </c>
      <c r="I11" s="266">
        <f t="shared" si="1"/>
        <v>16045.152900000001</v>
      </c>
      <c r="J11" s="266">
        <f t="shared" si="1"/>
        <v>31468.0448</v>
      </c>
      <c r="K11" s="266">
        <f t="shared" si="2"/>
        <v>15577.120818999998</v>
      </c>
      <c r="L11" s="266">
        <f t="shared" si="2"/>
        <v>16205.604428999999</v>
      </c>
      <c r="M11" s="266">
        <f t="shared" si="2"/>
        <v>31782.725247999999</v>
      </c>
      <c r="N11" s="266">
        <f t="shared" si="3"/>
        <v>15732.892027190001</v>
      </c>
      <c r="O11" s="266">
        <f t="shared" si="3"/>
        <v>16367.66047329</v>
      </c>
      <c r="P11" s="266">
        <f t="shared" si="3"/>
        <v>32100.55250048</v>
      </c>
      <c r="Q11" s="266">
        <f t="shared" si="4"/>
        <v>15890.220947461899</v>
      </c>
      <c r="R11" s="266">
        <f t="shared" si="4"/>
        <v>16531.337078022898</v>
      </c>
      <c r="S11" s="266">
        <f t="shared" si="4"/>
        <v>32421.558025484799</v>
      </c>
      <c r="T11" s="266">
        <f t="shared" si="5"/>
        <v>16049.123156936521</v>
      </c>
      <c r="U11" s="266">
        <f t="shared" si="5"/>
        <v>16696.650448803131</v>
      </c>
      <c r="V11" s="266">
        <f t="shared" si="5"/>
        <v>32745.773605739651</v>
      </c>
      <c r="W11" s="266">
        <f t="shared" si="6"/>
        <v>16209.614388505881</v>
      </c>
      <c r="X11" s="266">
        <f t="shared" si="7"/>
        <v>34416.137157931676</v>
      </c>
      <c r="Y11" s="266">
        <f t="shared" si="8"/>
        <v>16863.616953291159</v>
      </c>
      <c r="Z11" s="267">
        <f t="shared" si="9"/>
        <v>16371.710532390945</v>
      </c>
      <c r="AA11" s="267">
        <f t="shared" si="9"/>
        <v>17032.253122824073</v>
      </c>
      <c r="AB11" s="267">
        <f t="shared" si="9"/>
        <v>33403.963655215019</v>
      </c>
      <c r="AC11" s="266">
        <f t="shared" si="10"/>
        <v>16535.427637714856</v>
      </c>
      <c r="AD11" s="266">
        <f t="shared" si="10"/>
        <v>17202.575654052314</v>
      </c>
      <c r="AE11" s="266">
        <f t="shared" si="10"/>
        <v>33738.003291767171</v>
      </c>
      <c r="AF11" s="266">
        <f t="shared" si="11"/>
        <v>16700.781914092004</v>
      </c>
      <c r="AG11" s="268">
        <f t="shared" si="11"/>
        <v>17374.601410592841</v>
      </c>
      <c r="AH11" s="266">
        <f t="shared" si="11"/>
        <v>34075.383324684844</v>
      </c>
    </row>
    <row r="12" spans="1:45" x14ac:dyDescent="0.25">
      <c r="A12" s="11" t="s">
        <v>598</v>
      </c>
      <c r="B12" s="11">
        <v>10475</v>
      </c>
      <c r="C12" s="11">
        <v>12776</v>
      </c>
      <c r="D12" s="11">
        <v>23251</v>
      </c>
      <c r="E12" s="266">
        <f t="shared" si="0"/>
        <v>10579.75</v>
      </c>
      <c r="F12" s="266">
        <f t="shared" si="0"/>
        <v>12903.76</v>
      </c>
      <c r="G12" s="266">
        <f t="shared" si="0"/>
        <v>23483.51</v>
      </c>
      <c r="H12" s="266">
        <f t="shared" si="1"/>
        <v>10685.547500000001</v>
      </c>
      <c r="I12" s="266">
        <f t="shared" si="1"/>
        <v>13032.7976</v>
      </c>
      <c r="J12" s="266">
        <f t="shared" si="1"/>
        <v>23718.345099999999</v>
      </c>
      <c r="K12" s="266">
        <f t="shared" si="2"/>
        <v>10792.402974999999</v>
      </c>
      <c r="L12" s="266">
        <f t="shared" si="2"/>
        <v>13163.125575999999</v>
      </c>
      <c r="M12" s="266">
        <f t="shared" si="2"/>
        <v>23955.528550999999</v>
      </c>
      <c r="N12" s="266">
        <f t="shared" si="3"/>
        <v>10900.327004750001</v>
      </c>
      <c r="O12" s="266">
        <f t="shared" si="3"/>
        <v>13294.75683176</v>
      </c>
      <c r="P12" s="266">
        <f t="shared" si="3"/>
        <v>24195.083836509999</v>
      </c>
      <c r="Q12" s="266">
        <f t="shared" si="4"/>
        <v>11009.330274797499</v>
      </c>
      <c r="R12" s="266">
        <f t="shared" si="4"/>
        <v>13427.704400077599</v>
      </c>
      <c r="S12" s="266">
        <f t="shared" si="4"/>
        <v>24437.0346748751</v>
      </c>
      <c r="T12" s="266">
        <f t="shared" si="5"/>
        <v>11119.423577545476</v>
      </c>
      <c r="U12" s="266">
        <f t="shared" si="5"/>
        <v>13561.981444078378</v>
      </c>
      <c r="V12" s="266">
        <f t="shared" si="5"/>
        <v>24681.405021623854</v>
      </c>
      <c r="W12" s="266">
        <f t="shared" si="6"/>
        <v>11230.617813320929</v>
      </c>
      <c r="X12" s="266">
        <f t="shared" si="7"/>
        <v>25940.404728315269</v>
      </c>
      <c r="Y12" s="266">
        <f t="shared" si="8"/>
        <v>13697.601258519158</v>
      </c>
      <c r="Z12" s="267">
        <f t="shared" si="9"/>
        <v>11342.923991454141</v>
      </c>
      <c r="AA12" s="267">
        <f t="shared" si="9"/>
        <v>13834.577271104354</v>
      </c>
      <c r="AB12" s="267">
        <f t="shared" si="9"/>
        <v>25177.501262558493</v>
      </c>
      <c r="AC12" s="266">
        <f t="shared" si="10"/>
        <v>11456.353231368683</v>
      </c>
      <c r="AD12" s="266">
        <f t="shared" si="10"/>
        <v>13972.923043815397</v>
      </c>
      <c r="AE12" s="266">
        <f t="shared" si="10"/>
        <v>25429.276275184082</v>
      </c>
      <c r="AF12" s="266">
        <f t="shared" si="11"/>
        <v>11570.916763682369</v>
      </c>
      <c r="AG12" s="268">
        <f t="shared" si="11"/>
        <v>14112.652274253553</v>
      </c>
      <c r="AH12" s="266">
        <f t="shared" si="11"/>
        <v>25683.569037935922</v>
      </c>
    </row>
    <row r="13" spans="1:45" x14ac:dyDescent="0.25">
      <c r="A13" s="11" t="s">
        <v>599</v>
      </c>
      <c r="B13" s="11">
        <v>9945</v>
      </c>
      <c r="C13" s="11">
        <v>12180</v>
      </c>
      <c r="D13" s="11">
        <v>22125</v>
      </c>
      <c r="E13" s="266">
        <f t="shared" si="0"/>
        <v>10044.450000000001</v>
      </c>
      <c r="F13" s="266">
        <f t="shared" si="0"/>
        <v>12301.8</v>
      </c>
      <c r="G13" s="266">
        <f t="shared" si="0"/>
        <v>22346.25</v>
      </c>
      <c r="H13" s="266">
        <f t="shared" si="1"/>
        <v>10144.8945</v>
      </c>
      <c r="I13" s="266">
        <f t="shared" si="1"/>
        <v>12424.817999999999</v>
      </c>
      <c r="J13" s="266">
        <f t="shared" si="1"/>
        <v>22569.712500000001</v>
      </c>
      <c r="K13" s="266">
        <f t="shared" si="2"/>
        <v>10246.343444999999</v>
      </c>
      <c r="L13" s="266">
        <f t="shared" si="2"/>
        <v>12549.06618</v>
      </c>
      <c r="M13" s="266">
        <f t="shared" si="2"/>
        <v>22795.409624999997</v>
      </c>
      <c r="N13" s="266">
        <f t="shared" si="3"/>
        <v>10348.80687945</v>
      </c>
      <c r="O13" s="266">
        <f t="shared" si="3"/>
        <v>12674.5568418</v>
      </c>
      <c r="P13" s="266">
        <f t="shared" si="3"/>
        <v>23023.36372125</v>
      </c>
      <c r="Q13" s="266">
        <f t="shared" si="4"/>
        <v>10452.2949482445</v>
      </c>
      <c r="R13" s="266">
        <f t="shared" si="4"/>
        <v>12801.302410217999</v>
      </c>
      <c r="S13" s="266">
        <f t="shared" si="4"/>
        <v>23253.597358462499</v>
      </c>
      <c r="T13" s="266">
        <f t="shared" si="5"/>
        <v>10556.817897726947</v>
      </c>
      <c r="U13" s="266">
        <f t="shared" si="5"/>
        <v>12929.315434320182</v>
      </c>
      <c r="V13" s="266">
        <f t="shared" si="5"/>
        <v>23486.133332047128</v>
      </c>
      <c r="W13" s="266">
        <f t="shared" si="6"/>
        <v>10662.386076704213</v>
      </c>
      <c r="X13" s="266">
        <f t="shared" si="7"/>
        <v>24684.162169970125</v>
      </c>
      <c r="Y13" s="266">
        <f t="shared" si="8"/>
        <v>13058.608588663379</v>
      </c>
      <c r="Z13" s="267">
        <f t="shared" si="9"/>
        <v>10769.009937471257</v>
      </c>
      <c r="AA13" s="267">
        <f t="shared" si="9"/>
        <v>13189.194674550017</v>
      </c>
      <c r="AB13" s="267">
        <f t="shared" si="9"/>
        <v>23958.204612021276</v>
      </c>
      <c r="AC13" s="266">
        <f t="shared" si="10"/>
        <v>10876.700036845972</v>
      </c>
      <c r="AD13" s="266">
        <f t="shared" si="10"/>
        <v>13321.086621295519</v>
      </c>
      <c r="AE13" s="266">
        <f t="shared" si="10"/>
        <v>24197.786658141489</v>
      </c>
      <c r="AF13" s="266">
        <f t="shared" si="11"/>
        <v>10985.467037214432</v>
      </c>
      <c r="AG13" s="268">
        <f t="shared" si="11"/>
        <v>13454.297487508475</v>
      </c>
      <c r="AH13" s="266">
        <f t="shared" si="11"/>
        <v>24439.764524722905</v>
      </c>
    </row>
    <row r="14" spans="1:45" x14ac:dyDescent="0.25">
      <c r="A14" s="11" t="s">
        <v>600</v>
      </c>
      <c r="B14" s="11">
        <v>8144</v>
      </c>
      <c r="C14" s="11">
        <v>8668</v>
      </c>
      <c r="D14" s="11">
        <v>16812</v>
      </c>
      <c r="E14" s="266">
        <f t="shared" si="0"/>
        <v>8225.44</v>
      </c>
      <c r="F14" s="266">
        <f t="shared" si="0"/>
        <v>8754.68</v>
      </c>
      <c r="G14" s="266">
        <f t="shared" si="0"/>
        <v>16980.12</v>
      </c>
      <c r="H14" s="266">
        <f t="shared" si="1"/>
        <v>8307.6944000000003</v>
      </c>
      <c r="I14" s="266">
        <f t="shared" si="1"/>
        <v>8842.2268000000004</v>
      </c>
      <c r="J14" s="266">
        <f t="shared" si="1"/>
        <v>17149.921200000001</v>
      </c>
      <c r="K14" s="266">
        <f t="shared" si="2"/>
        <v>8390.7713439999989</v>
      </c>
      <c r="L14" s="266">
        <f t="shared" si="2"/>
        <v>8930.6490679999988</v>
      </c>
      <c r="M14" s="266">
        <f t="shared" si="2"/>
        <v>17321.420411999999</v>
      </c>
      <c r="N14" s="266">
        <f t="shared" si="3"/>
        <v>8474.6790574400002</v>
      </c>
      <c r="O14" s="266">
        <f t="shared" si="3"/>
        <v>9019.9555586799997</v>
      </c>
      <c r="P14" s="266">
        <f t="shared" si="3"/>
        <v>17494.634616120002</v>
      </c>
      <c r="Q14" s="266">
        <f t="shared" si="4"/>
        <v>8559.4258480143999</v>
      </c>
      <c r="R14" s="266">
        <f t="shared" si="4"/>
        <v>9110.1551142667995</v>
      </c>
      <c r="S14" s="266">
        <f t="shared" si="4"/>
        <v>17669.580962281198</v>
      </c>
      <c r="T14" s="266">
        <f t="shared" si="5"/>
        <v>8645.020106494545</v>
      </c>
      <c r="U14" s="266">
        <f t="shared" si="5"/>
        <v>9201.2566654094699</v>
      </c>
      <c r="V14" s="266">
        <f t="shared" si="5"/>
        <v>17846.276771904013</v>
      </c>
      <c r="W14" s="266">
        <f t="shared" si="6"/>
        <v>8731.470307559488</v>
      </c>
      <c r="X14" s="266">
        <f t="shared" si="7"/>
        <v>18756.616244137302</v>
      </c>
      <c r="Y14" s="266">
        <f t="shared" si="8"/>
        <v>9293.2692320635615</v>
      </c>
      <c r="Z14" s="267">
        <f t="shared" si="9"/>
        <v>8818.7850106350852</v>
      </c>
      <c r="AA14" s="267">
        <f t="shared" si="9"/>
        <v>9386.2019243841987</v>
      </c>
      <c r="AB14" s="267">
        <f t="shared" si="9"/>
        <v>18204.986935019286</v>
      </c>
      <c r="AC14" s="266">
        <f t="shared" si="10"/>
        <v>8906.9728607414363</v>
      </c>
      <c r="AD14" s="266">
        <f t="shared" si="10"/>
        <v>9480.0639436280417</v>
      </c>
      <c r="AE14" s="266">
        <f t="shared" si="10"/>
        <v>18387.03680436948</v>
      </c>
      <c r="AF14" s="266">
        <f t="shared" si="11"/>
        <v>8996.0425893488518</v>
      </c>
      <c r="AG14" s="268">
        <f t="shared" si="11"/>
        <v>9574.8645830643236</v>
      </c>
      <c r="AH14" s="266">
        <f t="shared" si="11"/>
        <v>18570.907172413175</v>
      </c>
    </row>
    <row r="15" spans="1:45" x14ac:dyDescent="0.25">
      <c r="A15" s="11" t="s">
        <v>601</v>
      </c>
      <c r="B15" s="11">
        <v>5392</v>
      </c>
      <c r="C15" s="11">
        <v>5794</v>
      </c>
      <c r="D15" s="11">
        <v>11186</v>
      </c>
      <c r="E15" s="266">
        <f t="shared" si="0"/>
        <v>5445.92</v>
      </c>
      <c r="F15" s="266">
        <f t="shared" si="0"/>
        <v>5851.94</v>
      </c>
      <c r="G15" s="266">
        <f t="shared" si="0"/>
        <v>11297.86</v>
      </c>
      <c r="H15" s="266">
        <f t="shared" si="1"/>
        <v>5500.3792000000003</v>
      </c>
      <c r="I15" s="266">
        <f t="shared" si="1"/>
        <v>5910.4593999999997</v>
      </c>
      <c r="J15" s="266">
        <f t="shared" si="1"/>
        <v>11410.838600000001</v>
      </c>
      <c r="K15" s="266">
        <f t="shared" si="2"/>
        <v>5555.3829919999998</v>
      </c>
      <c r="L15" s="266">
        <f t="shared" si="2"/>
        <v>5969.5639939999992</v>
      </c>
      <c r="M15" s="266">
        <f t="shared" si="2"/>
        <v>11524.946985999999</v>
      </c>
      <c r="N15" s="266">
        <f t="shared" si="3"/>
        <v>5610.9368219200005</v>
      </c>
      <c r="O15" s="266">
        <f t="shared" si="3"/>
        <v>6029.2596339399997</v>
      </c>
      <c r="P15" s="266">
        <f t="shared" si="3"/>
        <v>11640.196455860001</v>
      </c>
      <c r="Q15" s="266">
        <f t="shared" si="4"/>
        <v>5667.0461901392</v>
      </c>
      <c r="R15" s="266">
        <f t="shared" si="4"/>
        <v>6089.5522302793997</v>
      </c>
      <c r="S15" s="266">
        <f t="shared" si="4"/>
        <v>11756.598420418599</v>
      </c>
      <c r="T15" s="266">
        <f t="shared" si="5"/>
        <v>5723.7166520405926</v>
      </c>
      <c r="U15" s="266">
        <f t="shared" si="5"/>
        <v>6150.4477525821949</v>
      </c>
      <c r="V15" s="266">
        <f t="shared" si="5"/>
        <v>11874.164404622787</v>
      </c>
      <c r="W15" s="266">
        <f t="shared" si="6"/>
        <v>5780.9538185609972</v>
      </c>
      <c r="X15" s="266">
        <f t="shared" si="7"/>
        <v>12479.866125798229</v>
      </c>
      <c r="Y15" s="266">
        <f t="shared" si="8"/>
        <v>6211.9522301080151</v>
      </c>
      <c r="Z15" s="267">
        <f t="shared" si="9"/>
        <v>5838.7633567466082</v>
      </c>
      <c r="AA15" s="267">
        <f t="shared" si="9"/>
        <v>6274.0717524090969</v>
      </c>
      <c r="AB15" s="267">
        <f t="shared" si="9"/>
        <v>12112.835109155705</v>
      </c>
      <c r="AC15" s="266">
        <f t="shared" si="10"/>
        <v>5897.150990314075</v>
      </c>
      <c r="AD15" s="266">
        <f t="shared" si="10"/>
        <v>6336.8124699331884</v>
      </c>
      <c r="AE15" s="266">
        <f t="shared" si="10"/>
        <v>12233.963460247263</v>
      </c>
      <c r="AF15" s="266">
        <f t="shared" si="11"/>
        <v>5956.1225002172159</v>
      </c>
      <c r="AG15" s="268">
        <f t="shared" si="11"/>
        <v>6400.1805946325203</v>
      </c>
      <c r="AH15" s="266">
        <f t="shared" si="11"/>
        <v>12356.303094849736</v>
      </c>
    </row>
    <row r="16" spans="1:45" x14ac:dyDescent="0.25">
      <c r="A16" s="11" t="s">
        <v>602</v>
      </c>
      <c r="B16" s="11">
        <v>3375</v>
      </c>
      <c r="C16" s="11">
        <v>4277</v>
      </c>
      <c r="D16" s="11">
        <v>7652</v>
      </c>
      <c r="E16" s="266">
        <f t="shared" si="0"/>
        <v>3408.75</v>
      </c>
      <c r="F16" s="266">
        <f t="shared" si="0"/>
        <v>4319.7700000000004</v>
      </c>
      <c r="G16" s="266">
        <f t="shared" si="0"/>
        <v>7728.52</v>
      </c>
      <c r="H16" s="266">
        <f t="shared" si="1"/>
        <v>3442.8375000000001</v>
      </c>
      <c r="I16" s="266">
        <f t="shared" si="1"/>
        <v>4362.9677000000001</v>
      </c>
      <c r="J16" s="266">
        <f t="shared" si="1"/>
        <v>7805.8051999999998</v>
      </c>
      <c r="K16" s="266">
        <f t="shared" si="2"/>
        <v>3477.2658749999996</v>
      </c>
      <c r="L16" s="266">
        <f t="shared" si="2"/>
        <v>4406.5973770000001</v>
      </c>
      <c r="M16" s="266">
        <f t="shared" si="2"/>
        <v>7883.8632519999992</v>
      </c>
      <c r="N16" s="266">
        <f t="shared" si="3"/>
        <v>3512.0385337500002</v>
      </c>
      <c r="O16" s="266">
        <f t="shared" si="3"/>
        <v>4450.6633507699999</v>
      </c>
      <c r="P16" s="266">
        <f t="shared" si="3"/>
        <v>7962.70188452</v>
      </c>
      <c r="Q16" s="266">
        <f t="shared" si="4"/>
        <v>3547.1589190874997</v>
      </c>
      <c r="R16" s="266">
        <f t="shared" si="4"/>
        <v>4495.1699842776998</v>
      </c>
      <c r="S16" s="266">
        <f t="shared" si="4"/>
        <v>8042.328903365199</v>
      </c>
      <c r="T16" s="266">
        <f t="shared" si="5"/>
        <v>3582.6305082783756</v>
      </c>
      <c r="U16" s="266">
        <f t="shared" si="5"/>
        <v>4540.1216841204778</v>
      </c>
      <c r="V16" s="266">
        <f t="shared" si="5"/>
        <v>8122.7521923988534</v>
      </c>
      <c r="W16" s="266">
        <f t="shared" si="6"/>
        <v>3618.4568133611583</v>
      </c>
      <c r="X16" s="266">
        <f t="shared" si="7"/>
        <v>8537.0941886830005</v>
      </c>
      <c r="Y16" s="266">
        <f t="shared" si="8"/>
        <v>4585.5229009616814</v>
      </c>
      <c r="Z16" s="267">
        <f t="shared" si="9"/>
        <v>3654.6413814947709</v>
      </c>
      <c r="AA16" s="267">
        <f t="shared" si="9"/>
        <v>4631.3781299712991</v>
      </c>
      <c r="AB16" s="267">
        <f t="shared" si="9"/>
        <v>8286.0195114660692</v>
      </c>
      <c r="AC16" s="266">
        <f t="shared" si="10"/>
        <v>3691.1877953097187</v>
      </c>
      <c r="AD16" s="266">
        <f t="shared" si="10"/>
        <v>4677.691911271012</v>
      </c>
      <c r="AE16" s="266">
        <f t="shared" si="10"/>
        <v>8368.8797065807321</v>
      </c>
      <c r="AF16" s="266">
        <f t="shared" si="11"/>
        <v>3728.0996732628159</v>
      </c>
      <c r="AG16" s="268">
        <f t="shared" si="11"/>
        <v>4724.4688303837229</v>
      </c>
      <c r="AH16" s="266">
        <f t="shared" si="11"/>
        <v>8452.5685036465384</v>
      </c>
    </row>
    <row r="17" spans="1:45" x14ac:dyDescent="0.25">
      <c r="A17" s="11" t="s">
        <v>603</v>
      </c>
      <c r="B17" s="11">
        <v>2266</v>
      </c>
      <c r="C17" s="11">
        <v>3233</v>
      </c>
      <c r="D17" s="11">
        <v>5499</v>
      </c>
      <c r="E17" s="266">
        <f t="shared" si="0"/>
        <v>2288.66</v>
      </c>
      <c r="F17" s="266">
        <f t="shared" si="0"/>
        <v>3265.33</v>
      </c>
      <c r="G17" s="266">
        <f t="shared" si="0"/>
        <v>5553.99</v>
      </c>
      <c r="H17" s="266">
        <f t="shared" si="1"/>
        <v>2311.5466000000001</v>
      </c>
      <c r="I17" s="266">
        <f t="shared" si="1"/>
        <v>3297.9832999999999</v>
      </c>
      <c r="J17" s="266">
        <f t="shared" si="1"/>
        <v>5609.5299000000005</v>
      </c>
      <c r="K17" s="266">
        <f t="shared" si="2"/>
        <v>2334.6620659999999</v>
      </c>
      <c r="L17" s="266">
        <f t="shared" si="2"/>
        <v>3330.9631329999997</v>
      </c>
      <c r="M17" s="266">
        <f t="shared" si="2"/>
        <v>5665.6251989999992</v>
      </c>
      <c r="N17" s="266">
        <f t="shared" si="3"/>
        <v>2358.00868666</v>
      </c>
      <c r="O17" s="266">
        <f t="shared" si="3"/>
        <v>3364.27276433</v>
      </c>
      <c r="P17" s="266">
        <f t="shared" si="3"/>
        <v>5722.2814509899999</v>
      </c>
      <c r="Q17" s="266">
        <f t="shared" si="4"/>
        <v>2381.5887735265997</v>
      </c>
      <c r="R17" s="266">
        <f t="shared" si="4"/>
        <v>3397.9154919732996</v>
      </c>
      <c r="S17" s="266">
        <f t="shared" si="4"/>
        <v>5779.5042654998997</v>
      </c>
      <c r="T17" s="266">
        <f t="shared" si="5"/>
        <v>2405.4046612618663</v>
      </c>
      <c r="U17" s="266">
        <f t="shared" si="5"/>
        <v>3431.8946468930335</v>
      </c>
      <c r="V17" s="266">
        <f t="shared" si="5"/>
        <v>5837.2993081548993</v>
      </c>
      <c r="W17" s="266">
        <f t="shared" si="6"/>
        <v>2429.4587078744844</v>
      </c>
      <c r="X17" s="266">
        <f t="shared" si="7"/>
        <v>6135.0602383125743</v>
      </c>
      <c r="Y17" s="266">
        <f t="shared" si="8"/>
        <v>3466.2135933619629</v>
      </c>
      <c r="Z17" s="267">
        <f t="shared" si="9"/>
        <v>2453.7532949532297</v>
      </c>
      <c r="AA17" s="267">
        <f t="shared" si="9"/>
        <v>3500.8757292955834</v>
      </c>
      <c r="AB17" s="267">
        <f t="shared" si="9"/>
        <v>5954.629024248813</v>
      </c>
      <c r="AC17" s="266">
        <f t="shared" si="10"/>
        <v>2478.2908279027624</v>
      </c>
      <c r="AD17" s="266">
        <f t="shared" si="10"/>
        <v>3535.8844865885394</v>
      </c>
      <c r="AE17" s="266">
        <f t="shared" si="10"/>
        <v>6014.1753144913018</v>
      </c>
      <c r="AF17" s="266">
        <f t="shared" si="11"/>
        <v>2503.0737361817901</v>
      </c>
      <c r="AG17" s="268">
        <f t="shared" si="11"/>
        <v>3571.2433314544251</v>
      </c>
      <c r="AH17" s="266">
        <f>D17*1.01^10</f>
        <v>6074.3170676362151</v>
      </c>
    </row>
    <row r="18" spans="1:45" x14ac:dyDescent="0.25">
      <c r="A18" s="11" t="s">
        <v>604</v>
      </c>
      <c r="B18" s="11">
        <v>3378</v>
      </c>
      <c r="C18" s="11">
        <v>5044</v>
      </c>
      <c r="D18" s="11">
        <v>8422</v>
      </c>
      <c r="E18" s="266">
        <f t="shared" si="0"/>
        <v>3411.78</v>
      </c>
      <c r="F18" s="266">
        <f t="shared" si="0"/>
        <v>5094.4399999999996</v>
      </c>
      <c r="G18" s="266">
        <f t="shared" si="0"/>
        <v>8506.2199999999993</v>
      </c>
      <c r="H18" s="266">
        <f t="shared" si="1"/>
        <v>3445.8978000000002</v>
      </c>
      <c r="I18" s="266">
        <f t="shared" si="1"/>
        <v>5145.3843999999999</v>
      </c>
      <c r="J18" s="266">
        <f t="shared" si="1"/>
        <v>8591.2821999999996</v>
      </c>
      <c r="K18" s="266">
        <f t="shared" si="2"/>
        <v>3480.3567779999998</v>
      </c>
      <c r="L18" s="266">
        <f t="shared" si="2"/>
        <v>5196.8382439999996</v>
      </c>
      <c r="M18" s="266">
        <f t="shared" si="2"/>
        <v>8677.1950219999999</v>
      </c>
      <c r="N18" s="266">
        <f t="shared" si="3"/>
        <v>3515.1603457800002</v>
      </c>
      <c r="O18" s="266">
        <f t="shared" si="3"/>
        <v>5248.8066264400004</v>
      </c>
      <c r="P18" s="266">
        <f t="shared" si="3"/>
        <v>8763.9669722199997</v>
      </c>
      <c r="Q18" s="266">
        <f t="shared" si="4"/>
        <v>3550.3119492377996</v>
      </c>
      <c r="R18" s="266">
        <f t="shared" si="4"/>
        <v>5301.2946927043995</v>
      </c>
      <c r="S18" s="266">
        <f t="shared" si="4"/>
        <v>8851.6066419421986</v>
      </c>
      <c r="T18" s="266">
        <f t="shared" si="5"/>
        <v>3585.8150687301786</v>
      </c>
      <c r="U18" s="266">
        <f t="shared" si="5"/>
        <v>5354.3076396314445</v>
      </c>
      <c r="V18" s="266">
        <f t="shared" si="5"/>
        <v>8940.1227083616232</v>
      </c>
      <c r="W18" s="266">
        <f t="shared" si="6"/>
        <v>3621.6732194174792</v>
      </c>
      <c r="X18" s="266">
        <f t="shared" si="7"/>
        <v>9396.1588156152939</v>
      </c>
      <c r="Y18" s="266">
        <f t="shared" si="8"/>
        <v>5407.8507160277577</v>
      </c>
      <c r="Z18" s="267">
        <f t="shared" si="9"/>
        <v>3657.8899516116549</v>
      </c>
      <c r="AA18" s="267">
        <f t="shared" si="9"/>
        <v>5461.9292231880363</v>
      </c>
      <c r="AB18" s="267">
        <f t="shared" si="9"/>
        <v>9119.8191747996916</v>
      </c>
      <c r="AC18" s="266">
        <f t="shared" si="10"/>
        <v>3694.4688511277718</v>
      </c>
      <c r="AD18" s="266">
        <f t="shared" si="10"/>
        <v>5516.5485154199177</v>
      </c>
      <c r="AE18" s="266">
        <f t="shared" si="10"/>
        <v>9211.0173665476887</v>
      </c>
      <c r="AF18" s="266">
        <f t="shared" si="11"/>
        <v>3731.4135396390498</v>
      </c>
      <c r="AG18" s="268">
        <f t="shared" si="11"/>
        <v>5571.7140005741167</v>
      </c>
      <c r="AH18" s="266">
        <f>D18*1.01^10</f>
        <v>9303.1275402131669</v>
      </c>
    </row>
    <row r="19" spans="1:45" x14ac:dyDescent="0.25">
      <c r="A19" s="11" t="s">
        <v>605</v>
      </c>
      <c r="B19" s="11">
        <v>232</v>
      </c>
      <c r="C19" s="11">
        <v>235</v>
      </c>
      <c r="D19" s="11">
        <v>467</v>
      </c>
      <c r="E19" s="266">
        <f t="shared" si="0"/>
        <v>234.32</v>
      </c>
      <c r="F19" s="266">
        <f t="shared" si="0"/>
        <v>237.35</v>
      </c>
      <c r="G19" s="266">
        <f t="shared" si="0"/>
        <v>471.67</v>
      </c>
      <c r="H19" s="266">
        <f t="shared" si="1"/>
        <v>236.66319999999999</v>
      </c>
      <c r="I19" s="266">
        <f>C19*1.01^2</f>
        <v>239.7235</v>
      </c>
      <c r="J19" s="266">
        <f t="shared" si="1"/>
        <v>476.38670000000002</v>
      </c>
      <c r="K19" s="266">
        <f t="shared" si="2"/>
        <v>239.02983199999997</v>
      </c>
      <c r="L19" s="266">
        <f t="shared" si="2"/>
        <v>242.12073499999997</v>
      </c>
      <c r="M19" s="266">
        <f t="shared" si="2"/>
        <v>481.15056699999997</v>
      </c>
      <c r="N19" s="266">
        <f t="shared" si="3"/>
        <v>241.42013032</v>
      </c>
      <c r="O19" s="266">
        <f t="shared" si="3"/>
        <v>244.54194235</v>
      </c>
      <c r="P19" s="266">
        <f t="shared" si="3"/>
        <v>485.96207267</v>
      </c>
      <c r="Q19" s="266">
        <f t="shared" si="4"/>
        <v>243.83433162319997</v>
      </c>
      <c r="R19" s="266">
        <f t="shared" si="4"/>
        <v>246.98736177349997</v>
      </c>
      <c r="S19" s="266">
        <f t="shared" si="4"/>
        <v>490.82169339669997</v>
      </c>
      <c r="T19" s="266">
        <f t="shared" si="5"/>
        <v>246.27267493943202</v>
      </c>
      <c r="U19" s="266">
        <f t="shared" si="5"/>
        <v>249.45723539123503</v>
      </c>
      <c r="V19" s="266">
        <f t="shared" si="5"/>
        <v>495.72991033066705</v>
      </c>
      <c r="W19" s="266">
        <f t="shared" si="6"/>
        <v>248.73540168882627</v>
      </c>
      <c r="X19" s="266">
        <f t="shared" si="7"/>
        <v>521.0171178927028</v>
      </c>
      <c r="Y19" s="266">
        <f t="shared" si="8"/>
        <v>251.95180774514731</v>
      </c>
      <c r="Z19" s="267">
        <f t="shared" si="9"/>
        <v>251.2227557057146</v>
      </c>
      <c r="AA19" s="267">
        <f t="shared" si="9"/>
        <v>254.47132582259886</v>
      </c>
      <c r="AB19" s="267">
        <f t="shared" si="9"/>
        <v>505.69408152831346</v>
      </c>
      <c r="AC19" s="266">
        <f t="shared" si="10"/>
        <v>253.73498326277178</v>
      </c>
      <c r="AD19" s="266">
        <f t="shared" si="10"/>
        <v>257.01603908082484</v>
      </c>
      <c r="AE19" s="266">
        <f t="shared" si="10"/>
        <v>510.75102234359662</v>
      </c>
      <c r="AF19" s="266">
        <f t="shared" si="11"/>
        <v>256.27233309539952</v>
      </c>
      <c r="AG19" s="268">
        <f t="shared" si="11"/>
        <v>259.58619947163311</v>
      </c>
      <c r="AH19" s="266">
        <f t="shared" si="11"/>
        <v>515.85853256703263</v>
      </c>
    </row>
    <row r="20" spans="1:45" x14ac:dyDescent="0.25">
      <c r="A20" s="263" t="s">
        <v>2</v>
      </c>
      <c r="B20" s="263">
        <v>303346</v>
      </c>
      <c r="C20" s="263">
        <v>349991</v>
      </c>
      <c r="D20" s="263">
        <v>653337</v>
      </c>
      <c r="E20" s="270">
        <f t="shared" si="0"/>
        <v>306379.46000000002</v>
      </c>
      <c r="F20" s="270">
        <f t="shared" si="0"/>
        <v>353490.91</v>
      </c>
      <c r="G20" s="270">
        <f t="shared" si="0"/>
        <v>659870.37</v>
      </c>
      <c r="H20" s="270">
        <f t="shared" si="1"/>
        <v>309443.25459999999</v>
      </c>
      <c r="I20" s="270">
        <f t="shared" si="1"/>
        <v>357025.81910000002</v>
      </c>
      <c r="J20" s="270">
        <f t="shared" si="1"/>
        <v>666469.07369999995</v>
      </c>
      <c r="K20" s="270">
        <f t="shared" si="2"/>
        <v>312537.68714599998</v>
      </c>
      <c r="L20" s="270">
        <f t="shared" si="2"/>
        <v>360596.07729099999</v>
      </c>
      <c r="M20" s="270">
        <f t="shared" si="2"/>
        <v>673133.76443699992</v>
      </c>
      <c r="N20" s="270">
        <f t="shared" si="3"/>
        <v>315663.06401745998</v>
      </c>
      <c r="O20" s="270">
        <f t="shared" si="3"/>
        <v>364202.03806391003</v>
      </c>
      <c r="P20" s="270">
        <f t="shared" si="3"/>
        <v>679865.10208136996</v>
      </c>
      <c r="Q20" s="270">
        <f t="shared" si="4"/>
        <v>318819.69465763459</v>
      </c>
      <c r="R20" s="270">
        <f t="shared" si="4"/>
        <v>367844.0584445491</v>
      </c>
      <c r="S20" s="270">
        <f t="shared" si="4"/>
        <v>686663.75310218369</v>
      </c>
      <c r="T20" s="270">
        <f t="shared" si="5"/>
        <v>322007.89160421101</v>
      </c>
      <c r="U20" s="270">
        <f t="shared" si="5"/>
        <v>371522.49902899464</v>
      </c>
      <c r="V20" s="270">
        <f t="shared" si="5"/>
        <v>693530.39063320565</v>
      </c>
      <c r="W20" s="270">
        <f t="shared" si="6"/>
        <v>325227.970520253</v>
      </c>
      <c r="X20" s="270">
        <f t="shared" si="7"/>
        <v>728907.41060527775</v>
      </c>
      <c r="Y20" s="270">
        <f t="shared" si="8"/>
        <v>375237.72401928448</v>
      </c>
      <c r="Z20" s="271">
        <f t="shared" si="9"/>
        <v>328480.25022545562</v>
      </c>
      <c r="AA20" s="271">
        <f t="shared" si="9"/>
        <v>378990.10125947744</v>
      </c>
      <c r="AB20" s="271">
        <f t="shared" si="9"/>
        <v>707470.35148493305</v>
      </c>
      <c r="AC20" s="270">
        <f t="shared" si="10"/>
        <v>331765.05272771022</v>
      </c>
      <c r="AD20" s="270">
        <f t="shared" si="10"/>
        <v>382780.00227207225</v>
      </c>
      <c r="AE20" s="270">
        <f t="shared" si="10"/>
        <v>714545.05499978247</v>
      </c>
      <c r="AF20" s="270">
        <f t="shared" si="11"/>
        <v>335082.70325498731</v>
      </c>
      <c r="AG20" s="272">
        <f t="shared" si="11"/>
        <v>386607.80229479296</v>
      </c>
      <c r="AH20" s="270">
        <f>D20*1.01^10</f>
        <v>721690.50554978033</v>
      </c>
    </row>
    <row r="22" spans="1:45" x14ac:dyDescent="0.25">
      <c r="A22" s="263" t="s">
        <v>606</v>
      </c>
      <c r="B22" s="273"/>
      <c r="C22" s="274">
        <v>2012</v>
      </c>
      <c r="D22" s="275"/>
      <c r="E22" s="351">
        <v>2013</v>
      </c>
      <c r="F22" s="352"/>
      <c r="G22" s="353"/>
      <c r="H22" s="351">
        <v>2014</v>
      </c>
      <c r="I22" s="352"/>
      <c r="J22" s="353"/>
      <c r="K22" s="351">
        <v>2015</v>
      </c>
      <c r="L22" s="352"/>
      <c r="M22" s="353"/>
      <c r="N22" s="351">
        <v>2016</v>
      </c>
      <c r="O22" s="352"/>
      <c r="P22" s="353"/>
      <c r="Q22" s="351">
        <v>2017</v>
      </c>
      <c r="R22" s="352"/>
      <c r="S22" s="353"/>
      <c r="T22" s="351">
        <v>2018</v>
      </c>
      <c r="U22" s="352"/>
      <c r="V22" s="353"/>
      <c r="W22" s="351">
        <v>2019</v>
      </c>
      <c r="X22" s="352"/>
      <c r="Y22" s="353"/>
      <c r="Z22" s="354">
        <v>2020</v>
      </c>
      <c r="AA22" s="355"/>
      <c r="AB22" s="356"/>
      <c r="AC22" s="351">
        <v>2021</v>
      </c>
      <c r="AD22" s="352"/>
      <c r="AE22" s="353"/>
      <c r="AF22" s="351">
        <v>2022</v>
      </c>
      <c r="AG22" s="352"/>
      <c r="AH22" s="353"/>
    </row>
    <row r="23" spans="1:45" x14ac:dyDescent="0.25">
      <c r="A23" s="263" t="s">
        <v>607</v>
      </c>
      <c r="B23" s="262" t="s">
        <v>3</v>
      </c>
      <c r="C23" s="262" t="s">
        <v>4</v>
      </c>
      <c r="D23" s="262" t="s">
        <v>2</v>
      </c>
      <c r="E23" s="264" t="s">
        <v>582</v>
      </c>
      <c r="F23" s="264" t="s">
        <v>583</v>
      </c>
      <c r="G23" s="264" t="s">
        <v>2</v>
      </c>
      <c r="H23" s="264" t="s">
        <v>582</v>
      </c>
      <c r="I23" s="264" t="s">
        <v>583</v>
      </c>
      <c r="J23" s="264" t="s">
        <v>2</v>
      </c>
      <c r="K23" s="264" t="s">
        <v>582</v>
      </c>
      <c r="L23" s="264" t="s">
        <v>583</v>
      </c>
      <c r="M23" s="264" t="s">
        <v>2</v>
      </c>
      <c r="N23" s="264" t="s">
        <v>582</v>
      </c>
      <c r="O23" s="264" t="s">
        <v>583</v>
      </c>
      <c r="P23" s="264" t="s">
        <v>2</v>
      </c>
      <c r="Q23" s="264" t="s">
        <v>582</v>
      </c>
      <c r="R23" s="264" t="s">
        <v>583</v>
      </c>
      <c r="S23" s="264" t="s">
        <v>2</v>
      </c>
      <c r="T23" s="264" t="s">
        <v>582</v>
      </c>
      <c r="U23" s="264" t="s">
        <v>583</v>
      </c>
      <c r="V23" s="264" t="s">
        <v>2</v>
      </c>
      <c r="W23" s="264" t="s">
        <v>582</v>
      </c>
      <c r="X23" s="264" t="s">
        <v>583</v>
      </c>
      <c r="Y23" s="264" t="s">
        <v>2</v>
      </c>
      <c r="Z23" s="265" t="s">
        <v>582</v>
      </c>
      <c r="AA23" s="265" t="s">
        <v>583</v>
      </c>
      <c r="AB23" s="265" t="s">
        <v>2</v>
      </c>
      <c r="AC23" s="264" t="s">
        <v>582</v>
      </c>
      <c r="AD23" s="264" t="s">
        <v>583</v>
      </c>
      <c r="AE23" s="264" t="s">
        <v>2</v>
      </c>
      <c r="AF23" s="264" t="s">
        <v>582</v>
      </c>
      <c r="AG23" s="264" t="s">
        <v>583</v>
      </c>
      <c r="AH23" s="264" t="s">
        <v>2</v>
      </c>
      <c r="AI23" t="s">
        <v>3</v>
      </c>
      <c r="AJ23" t="s">
        <v>4</v>
      </c>
      <c r="AK23" t="s">
        <v>584</v>
      </c>
      <c r="AL23" t="s">
        <v>631</v>
      </c>
      <c r="AM23" t="s">
        <v>632</v>
      </c>
      <c r="AN23" t="s">
        <v>633</v>
      </c>
      <c r="AO23" t="s">
        <v>585</v>
      </c>
      <c r="AP23" t="s">
        <v>586</v>
      </c>
      <c r="AQ23" t="s">
        <v>587</v>
      </c>
      <c r="AS23" t="s">
        <v>588</v>
      </c>
    </row>
    <row r="24" spans="1:45" x14ac:dyDescent="0.25">
      <c r="A24" s="11" t="s">
        <v>589</v>
      </c>
      <c r="B24" s="11">
        <v>139472</v>
      </c>
      <c r="C24" s="11">
        <v>141292</v>
      </c>
      <c r="D24" s="11">
        <v>280764</v>
      </c>
      <c r="E24" s="266">
        <f>B24*1.01</f>
        <v>140866.72</v>
      </c>
      <c r="F24" s="266">
        <f>C24*1.01</f>
        <v>142704.92000000001</v>
      </c>
      <c r="G24" s="266">
        <f>D24*1.01</f>
        <v>283571.64</v>
      </c>
      <c r="H24" s="266">
        <f>B24*1.01^2</f>
        <v>142275.3872</v>
      </c>
      <c r="I24" s="266">
        <f>C24*1.01^2</f>
        <v>144131.96919999999</v>
      </c>
      <c r="J24" s="266">
        <f>D24*1.01^2</f>
        <v>286407.35639999999</v>
      </c>
      <c r="K24" s="266">
        <f>B24*1.01^3</f>
        <v>143698.141072</v>
      </c>
      <c r="L24" s="266">
        <f>C24*1.01^3</f>
        <v>145573.28889199998</v>
      </c>
      <c r="M24" s="266">
        <f>D24*1.01^3</f>
        <v>289271.42996399995</v>
      </c>
      <c r="N24" s="266">
        <f>B24*1.01^4</f>
        <v>145135.12248272001</v>
      </c>
      <c r="O24" s="266">
        <f>C24*1.01^4</f>
        <v>147029.02178092001</v>
      </c>
      <c r="P24" s="266">
        <f>D24*1.01^4</f>
        <v>292164.14426363999</v>
      </c>
      <c r="Q24" s="266">
        <f>B24*1.01^5</f>
        <v>146586.47370754718</v>
      </c>
      <c r="R24" s="266">
        <f>C24*1.01^5</f>
        <v>148499.31199872919</v>
      </c>
      <c r="S24" s="266">
        <f>D24*1.01^5</f>
        <v>295085.78570627637</v>
      </c>
      <c r="T24" s="266">
        <f>B24*1.01^6</f>
        <v>148052.3384446227</v>
      </c>
      <c r="U24" s="266">
        <f>C24*1.01^6</f>
        <v>149984.3051187165</v>
      </c>
      <c r="V24" s="266">
        <f>D24*1.01^6</f>
        <v>298036.6435633392</v>
      </c>
      <c r="W24" s="266">
        <f>B24*1.01^7</f>
        <v>149532.86182906886</v>
      </c>
      <c r="X24" s="266">
        <f>P24*1.01^7</f>
        <v>313239.50768314087</v>
      </c>
      <c r="Y24" s="266">
        <f>C24*1.01^7</f>
        <v>151484.14816990364</v>
      </c>
      <c r="Z24" s="267">
        <f>B24*1.01^8</f>
        <v>151028.19044735961</v>
      </c>
      <c r="AA24" s="267">
        <f>C24*1.01^8</f>
        <v>152998.98965160272</v>
      </c>
      <c r="AB24" s="267">
        <f>D24*1.01^8</f>
        <v>304027.18009896233</v>
      </c>
      <c r="AC24" s="266">
        <f>B24*1.01^9</f>
        <v>152538.47235183322</v>
      </c>
      <c r="AD24" s="266">
        <f>C24*1.01^9</f>
        <v>154528.97954811875</v>
      </c>
      <c r="AE24" s="266">
        <f>D24*1.01^9</f>
        <v>307067.45189995196</v>
      </c>
      <c r="AF24" s="266">
        <f>B24*1.01^10</f>
        <v>154063.85707535155</v>
      </c>
      <c r="AG24" s="268">
        <f>C24*1.01^10</f>
        <v>156074.26934359994</v>
      </c>
      <c r="AH24" s="266">
        <f>D24*1.01^10</f>
        <v>310138.12641895149</v>
      </c>
      <c r="AI24" s="6">
        <f>Z41/AB41</f>
        <v>0.47395329942751119</v>
      </c>
      <c r="AJ24" s="6">
        <f>AA41/AB41</f>
        <v>0.52604670057248881</v>
      </c>
      <c r="AK24" s="6">
        <f>AB24/AB41</f>
        <v>0.16018960482638767</v>
      </c>
      <c r="AL24" s="6">
        <f>SUM(AB24:AB26)/AB41</f>
        <v>0.43950583614518873</v>
      </c>
      <c r="AM24" s="6">
        <f>SUM(Z24:Z26)/Z41</f>
        <v>0.46310267161191143</v>
      </c>
      <c r="AN24" s="6">
        <f>SUM(AA24:AA26)/AA41</f>
        <v>0.41824575027575894</v>
      </c>
      <c r="AO24" s="6">
        <f>SUM(AB24:AB27)/AB41</f>
        <v>0.54753984999127059</v>
      </c>
      <c r="AP24" s="6">
        <f>SUM(AA27:AA33)/AA41</f>
        <v>0.44729994869853723</v>
      </c>
      <c r="AQ24" s="6">
        <f>SUM(Z27:Z33)/Z41</f>
        <v>0.43932264110740743</v>
      </c>
      <c r="AR24" s="6"/>
      <c r="AS24" s="6">
        <f>SUM(AB37:AB39)/AB41</f>
        <v>4.6375359588474462E-2</v>
      </c>
    </row>
    <row r="25" spans="1:45" x14ac:dyDescent="0.25">
      <c r="A25" s="269" t="s">
        <v>590</v>
      </c>
      <c r="B25" s="11">
        <v>121933</v>
      </c>
      <c r="C25" s="11">
        <v>122843</v>
      </c>
      <c r="D25" s="11">
        <v>244776</v>
      </c>
      <c r="E25" s="266">
        <f t="shared" ref="E25:G41" si="12">B25*1.01</f>
        <v>123152.33</v>
      </c>
      <c r="F25" s="266">
        <f t="shared" si="12"/>
        <v>124071.43000000001</v>
      </c>
      <c r="G25" s="266">
        <f t="shared" si="12"/>
        <v>247223.76</v>
      </c>
      <c r="H25" s="266">
        <f t="shared" ref="H25:J41" si="13">B25*1.01^2</f>
        <v>124383.8533</v>
      </c>
      <c r="I25" s="266">
        <f t="shared" si="13"/>
        <v>125312.1443</v>
      </c>
      <c r="J25" s="266">
        <f t="shared" si="13"/>
        <v>249695.9976</v>
      </c>
      <c r="K25" s="266">
        <f t="shared" ref="K25:M41" si="14">B25*1.01^3</f>
        <v>125627.69183299999</v>
      </c>
      <c r="L25" s="266">
        <f t="shared" si="14"/>
        <v>126565.265743</v>
      </c>
      <c r="M25" s="266">
        <f t="shared" si="14"/>
        <v>252192.95757599999</v>
      </c>
      <c r="N25" s="266">
        <f t="shared" ref="N25:P41" si="15">B25*1.01^4</f>
        <v>126883.96875133</v>
      </c>
      <c r="O25" s="266">
        <f t="shared" si="15"/>
        <v>127830.91840043</v>
      </c>
      <c r="P25" s="266">
        <f t="shared" si="15"/>
        <v>254714.88715176002</v>
      </c>
      <c r="Q25" s="266">
        <f t="shared" ref="Q25:S41" si="16">B25*1.01^5</f>
        <v>128152.80843884329</v>
      </c>
      <c r="R25" s="266">
        <f t="shared" si="16"/>
        <v>129109.22758443429</v>
      </c>
      <c r="S25" s="266">
        <f t="shared" si="16"/>
        <v>257262.03602327759</v>
      </c>
      <c r="T25" s="266">
        <f t="shared" ref="T25:V41" si="17">B25*1.01^6</f>
        <v>129434.33652323174</v>
      </c>
      <c r="U25" s="266">
        <f t="shared" si="17"/>
        <v>130400.31986027866</v>
      </c>
      <c r="V25" s="266">
        <f t="shared" si="17"/>
        <v>259834.65638351042</v>
      </c>
      <c r="W25" s="266">
        <f t="shared" ref="W25:W41" si="18">B25*1.01^7</f>
        <v>130728.67988846403</v>
      </c>
      <c r="X25" s="266">
        <f t="shared" ref="X25:X41" si="19">P25*1.01^7</f>
        <v>273088.83522334951</v>
      </c>
      <c r="Y25" s="266">
        <f t="shared" ref="Y25:Y41" si="20">C25*1.01^7</f>
        <v>131704.32305888142</v>
      </c>
      <c r="Z25" s="267">
        <f t="shared" ref="Z25:AB41" si="21">B25*1.01^8</f>
        <v>132035.9666873487</v>
      </c>
      <c r="AA25" s="267">
        <f t="shared" si="21"/>
        <v>133021.36628947026</v>
      </c>
      <c r="AB25" s="267">
        <f t="shared" si="21"/>
        <v>265057.33297681896</v>
      </c>
      <c r="AC25" s="266">
        <f t="shared" ref="AC25:AE41" si="22">B25*1.01^9</f>
        <v>133356.3263542222</v>
      </c>
      <c r="AD25" s="266">
        <f t="shared" si="22"/>
        <v>134351.57995236496</v>
      </c>
      <c r="AE25" s="266">
        <f t="shared" si="22"/>
        <v>267707.90630658716</v>
      </c>
      <c r="AF25" s="266">
        <f t="shared" ref="AF25:AH41" si="23">B25*1.01^10</f>
        <v>134689.88961776442</v>
      </c>
      <c r="AG25" s="268">
        <f t="shared" si="23"/>
        <v>135695.09575188861</v>
      </c>
      <c r="AH25" s="266">
        <f t="shared" si="23"/>
        <v>270384.98536965303</v>
      </c>
    </row>
    <row r="26" spans="1:45" x14ac:dyDescent="0.25">
      <c r="A26" s="269" t="s">
        <v>591</v>
      </c>
      <c r="B26" s="11">
        <v>123293</v>
      </c>
      <c r="C26" s="11">
        <v>121488</v>
      </c>
      <c r="D26" s="11">
        <v>244781</v>
      </c>
      <c r="E26" s="266">
        <f t="shared" si="12"/>
        <v>124525.93000000001</v>
      </c>
      <c r="F26" s="266">
        <f t="shared" si="12"/>
        <v>122702.88</v>
      </c>
      <c r="G26" s="266">
        <f t="shared" si="12"/>
        <v>247228.81</v>
      </c>
      <c r="H26" s="266">
        <f t="shared" si="13"/>
        <v>125771.1893</v>
      </c>
      <c r="I26" s="266">
        <f t="shared" si="13"/>
        <v>123929.9088</v>
      </c>
      <c r="J26" s="266">
        <f t="shared" si="13"/>
        <v>249701.0981</v>
      </c>
      <c r="K26" s="266">
        <f t="shared" si="14"/>
        <v>127028.90119299998</v>
      </c>
      <c r="L26" s="266">
        <f t="shared" si="14"/>
        <v>125169.20788799999</v>
      </c>
      <c r="M26" s="266">
        <f t="shared" si="14"/>
        <v>252198.10908099997</v>
      </c>
      <c r="N26" s="266">
        <f t="shared" si="15"/>
        <v>128299.19020493</v>
      </c>
      <c r="O26" s="266">
        <f t="shared" si="15"/>
        <v>126420.89996688001</v>
      </c>
      <c r="P26" s="266">
        <f t="shared" si="15"/>
        <v>254720.09017181001</v>
      </c>
      <c r="Q26" s="266">
        <f t="shared" si="16"/>
        <v>129582.18210697929</v>
      </c>
      <c r="R26" s="266">
        <f t="shared" si="16"/>
        <v>127685.1089665488</v>
      </c>
      <c r="S26" s="266">
        <f t="shared" si="16"/>
        <v>257267.29107352809</v>
      </c>
      <c r="T26" s="266">
        <f t="shared" si="17"/>
        <v>130878.0039280491</v>
      </c>
      <c r="U26" s="266">
        <f t="shared" si="17"/>
        <v>128961.9600562143</v>
      </c>
      <c r="V26" s="266">
        <f t="shared" si="17"/>
        <v>259839.96398426342</v>
      </c>
      <c r="W26" s="266">
        <f t="shared" si="18"/>
        <v>132186.78396732957</v>
      </c>
      <c r="X26" s="266">
        <f t="shared" si="19"/>
        <v>273094.41356508282</v>
      </c>
      <c r="Y26" s="266">
        <f t="shared" si="20"/>
        <v>130251.5796567764</v>
      </c>
      <c r="Z26" s="267">
        <f t="shared" si="21"/>
        <v>133508.6518070029</v>
      </c>
      <c r="AA26" s="267">
        <f t="shared" si="21"/>
        <v>131554.0954533442</v>
      </c>
      <c r="AB26" s="267">
        <f t="shared" si="21"/>
        <v>265062.74726034713</v>
      </c>
      <c r="AC26" s="266">
        <f t="shared" si="22"/>
        <v>134843.73832507295</v>
      </c>
      <c r="AD26" s="266">
        <f t="shared" si="22"/>
        <v>132869.63640787767</v>
      </c>
      <c r="AE26" s="266">
        <f t="shared" si="22"/>
        <v>267713.37473295059</v>
      </c>
      <c r="AF26" s="266">
        <f t="shared" si="23"/>
        <v>136192.17570832366</v>
      </c>
      <c r="AG26" s="268">
        <f t="shared" si="23"/>
        <v>134198.33277195645</v>
      </c>
      <c r="AH26" s="266">
        <f t="shared" si="23"/>
        <v>270390.50848028011</v>
      </c>
    </row>
    <row r="27" spans="1:45" x14ac:dyDescent="0.25">
      <c r="A27" s="11" t="s">
        <v>592</v>
      </c>
      <c r="B27" s="11">
        <v>97318</v>
      </c>
      <c r="C27" s="11">
        <v>92033</v>
      </c>
      <c r="D27" s="11">
        <v>189351</v>
      </c>
      <c r="E27" s="266">
        <f t="shared" si="12"/>
        <v>98291.180000000008</v>
      </c>
      <c r="F27" s="266">
        <f t="shared" si="12"/>
        <v>92953.33</v>
      </c>
      <c r="G27" s="266">
        <f t="shared" si="12"/>
        <v>191244.51</v>
      </c>
      <c r="H27" s="266">
        <f t="shared" si="13"/>
        <v>99274.091799999995</v>
      </c>
      <c r="I27" s="266">
        <f t="shared" si="13"/>
        <v>93882.863299999997</v>
      </c>
      <c r="J27" s="266">
        <f t="shared" si="13"/>
        <v>193156.95509999999</v>
      </c>
      <c r="K27" s="266">
        <f t="shared" si="14"/>
        <v>100266.83271799999</v>
      </c>
      <c r="L27" s="266">
        <f t="shared" si="14"/>
        <v>94821.691932999995</v>
      </c>
      <c r="M27" s="266">
        <f t="shared" si="14"/>
        <v>195088.52465099999</v>
      </c>
      <c r="N27" s="266">
        <f t="shared" si="15"/>
        <v>101269.50104518</v>
      </c>
      <c r="O27" s="266">
        <f t="shared" si="15"/>
        <v>95769.908852330002</v>
      </c>
      <c r="P27" s="266">
        <f t="shared" si="15"/>
        <v>197039.40989750999</v>
      </c>
      <c r="Q27" s="266">
        <f t="shared" si="16"/>
        <v>102282.19605563179</v>
      </c>
      <c r="R27" s="266">
        <f t="shared" si="16"/>
        <v>96727.607940853297</v>
      </c>
      <c r="S27" s="266">
        <f t="shared" si="16"/>
        <v>199009.80399648508</v>
      </c>
      <c r="T27" s="266">
        <f t="shared" si="17"/>
        <v>103305.01801618813</v>
      </c>
      <c r="U27" s="266">
        <f t="shared" si="17"/>
        <v>97694.884020261845</v>
      </c>
      <c r="V27" s="266">
        <f t="shared" si="17"/>
        <v>200999.90203644999</v>
      </c>
      <c r="W27" s="266">
        <f t="shared" si="18"/>
        <v>104338.06819634998</v>
      </c>
      <c r="X27" s="266">
        <f t="shared" si="19"/>
        <v>211252.91710942431</v>
      </c>
      <c r="Y27" s="266">
        <f t="shared" si="20"/>
        <v>98671.832860464434</v>
      </c>
      <c r="Z27" s="267">
        <f t="shared" si="21"/>
        <v>105381.44887831352</v>
      </c>
      <c r="AA27" s="267">
        <f t="shared" si="21"/>
        <v>99658.551189069112</v>
      </c>
      <c r="AB27" s="267">
        <f t="shared" si="21"/>
        <v>205040.00006738261</v>
      </c>
      <c r="AC27" s="266">
        <f t="shared" si="22"/>
        <v>106435.26336709666</v>
      </c>
      <c r="AD27" s="266">
        <f t="shared" si="22"/>
        <v>100655.1367009598</v>
      </c>
      <c r="AE27" s="266">
        <f t="shared" si="22"/>
        <v>207090.40006805645</v>
      </c>
      <c r="AF27" s="266">
        <f t="shared" si="23"/>
        <v>107499.61600076762</v>
      </c>
      <c r="AG27" s="268">
        <f t="shared" si="23"/>
        <v>101661.6880679694</v>
      </c>
      <c r="AH27" s="266">
        <f t="shared" si="23"/>
        <v>209161.30406873702</v>
      </c>
    </row>
    <row r="28" spans="1:45" x14ac:dyDescent="0.25">
      <c r="A28" s="11" t="s">
        <v>593</v>
      </c>
      <c r="B28" s="11">
        <v>64166</v>
      </c>
      <c r="C28" s="11">
        <v>78338</v>
      </c>
      <c r="D28" s="11">
        <v>142504</v>
      </c>
      <c r="E28" s="266">
        <f t="shared" si="12"/>
        <v>64807.66</v>
      </c>
      <c r="F28" s="266">
        <f t="shared" si="12"/>
        <v>79121.38</v>
      </c>
      <c r="G28" s="266">
        <f t="shared" si="12"/>
        <v>143929.04</v>
      </c>
      <c r="H28" s="266">
        <f t="shared" si="13"/>
        <v>65455.736600000004</v>
      </c>
      <c r="I28" s="266">
        <f t="shared" si="13"/>
        <v>79912.593800000002</v>
      </c>
      <c r="J28" s="266">
        <f t="shared" si="13"/>
        <v>145368.33040000001</v>
      </c>
      <c r="K28" s="266">
        <f t="shared" si="14"/>
        <v>66110.293965999997</v>
      </c>
      <c r="L28" s="266">
        <f t="shared" si="14"/>
        <v>80711.719738</v>
      </c>
      <c r="M28" s="266">
        <f t="shared" si="14"/>
        <v>146822.01370399998</v>
      </c>
      <c r="N28" s="266">
        <f t="shared" si="15"/>
        <v>66771.396905660004</v>
      </c>
      <c r="O28" s="266">
        <f t="shared" si="15"/>
        <v>81518.836935380008</v>
      </c>
      <c r="P28" s="266">
        <f t="shared" si="15"/>
        <v>148290.23384104</v>
      </c>
      <c r="Q28" s="266">
        <f t="shared" si="16"/>
        <v>67439.1108747166</v>
      </c>
      <c r="R28" s="266">
        <f t="shared" si="16"/>
        <v>82334.02530473379</v>
      </c>
      <c r="S28" s="266">
        <f t="shared" si="16"/>
        <v>149773.13617945038</v>
      </c>
      <c r="T28" s="266">
        <f t="shared" si="17"/>
        <v>68113.501983463779</v>
      </c>
      <c r="U28" s="266">
        <f t="shared" si="17"/>
        <v>83157.365557781144</v>
      </c>
      <c r="V28" s="266">
        <f t="shared" si="17"/>
        <v>151270.86754124492</v>
      </c>
      <c r="W28" s="266">
        <f t="shared" si="18"/>
        <v>68794.637003298398</v>
      </c>
      <c r="X28" s="266">
        <f t="shared" si="19"/>
        <v>158987.20207319423</v>
      </c>
      <c r="Y28" s="266">
        <f t="shared" si="20"/>
        <v>83988.939213358943</v>
      </c>
      <c r="Z28" s="267">
        <f t="shared" si="21"/>
        <v>69482.583373331392</v>
      </c>
      <c r="AA28" s="267">
        <f t="shared" si="21"/>
        <v>84828.828605492556</v>
      </c>
      <c r="AB28" s="267">
        <f t="shared" si="21"/>
        <v>154311.41197882395</v>
      </c>
      <c r="AC28" s="266">
        <f t="shared" si="22"/>
        <v>70177.409207064717</v>
      </c>
      <c r="AD28" s="266">
        <f t="shared" si="22"/>
        <v>85677.116891547485</v>
      </c>
      <c r="AE28" s="266">
        <f t="shared" si="22"/>
        <v>155854.5260986122</v>
      </c>
      <c r="AF28" s="266">
        <f t="shared" si="23"/>
        <v>70879.183299135359</v>
      </c>
      <c r="AG28" s="268">
        <f t="shared" si="23"/>
        <v>86533.888060462952</v>
      </c>
      <c r="AH28" s="266">
        <f t="shared" si="23"/>
        <v>157413.07135959831</v>
      </c>
    </row>
    <row r="29" spans="1:45" x14ac:dyDescent="0.25">
      <c r="A29" s="11" t="s">
        <v>594</v>
      </c>
      <c r="B29" s="11">
        <v>59246</v>
      </c>
      <c r="C29" s="11">
        <v>74276</v>
      </c>
      <c r="D29" s="11">
        <v>133522</v>
      </c>
      <c r="E29" s="266">
        <f t="shared" si="12"/>
        <v>59838.46</v>
      </c>
      <c r="F29" s="266">
        <f t="shared" si="12"/>
        <v>75018.759999999995</v>
      </c>
      <c r="G29" s="266">
        <f t="shared" si="12"/>
        <v>134857.22</v>
      </c>
      <c r="H29" s="266">
        <f t="shared" si="13"/>
        <v>60436.844600000004</v>
      </c>
      <c r="I29" s="266">
        <f t="shared" si="13"/>
        <v>75768.9476</v>
      </c>
      <c r="J29" s="266">
        <f t="shared" si="13"/>
        <v>136205.7922</v>
      </c>
      <c r="K29" s="266">
        <f t="shared" si="14"/>
        <v>61041.213045999997</v>
      </c>
      <c r="L29" s="266">
        <f t="shared" si="14"/>
        <v>76526.637075999999</v>
      </c>
      <c r="M29" s="266">
        <f t="shared" si="14"/>
        <v>137567.85012199997</v>
      </c>
      <c r="N29" s="266">
        <f t="shared" si="15"/>
        <v>61651.625176460002</v>
      </c>
      <c r="O29" s="266">
        <f t="shared" si="15"/>
        <v>77291.903446759999</v>
      </c>
      <c r="P29" s="266">
        <f t="shared" si="15"/>
        <v>138943.52862322002</v>
      </c>
      <c r="Q29" s="266">
        <f t="shared" si="16"/>
        <v>62268.141428224597</v>
      </c>
      <c r="R29" s="266">
        <f t="shared" si="16"/>
        <v>78064.822481227588</v>
      </c>
      <c r="S29" s="266">
        <f t="shared" si="16"/>
        <v>140332.9639094522</v>
      </c>
      <c r="T29" s="266">
        <f t="shared" si="17"/>
        <v>62890.822842506852</v>
      </c>
      <c r="U29" s="266">
        <f t="shared" si="17"/>
        <v>78845.47070603988</v>
      </c>
      <c r="V29" s="266">
        <f t="shared" si="17"/>
        <v>141736.29354854673</v>
      </c>
      <c r="W29" s="266">
        <f t="shared" si="18"/>
        <v>63519.731070931906</v>
      </c>
      <c r="X29" s="266">
        <f t="shared" si="19"/>
        <v>148966.26898344638</v>
      </c>
      <c r="Y29" s="266">
        <f t="shared" si="20"/>
        <v>79633.925413100267</v>
      </c>
      <c r="Z29" s="267">
        <f t="shared" si="21"/>
        <v>64154.928381641243</v>
      </c>
      <c r="AA29" s="267">
        <f t="shared" si="21"/>
        <v>80430.264667231284</v>
      </c>
      <c r="AB29" s="267">
        <f t="shared" si="21"/>
        <v>144585.19304887252</v>
      </c>
      <c r="AC29" s="266">
        <f t="shared" si="22"/>
        <v>64796.477665457656</v>
      </c>
      <c r="AD29" s="266">
        <f t="shared" si="22"/>
        <v>81234.567313903608</v>
      </c>
      <c r="AE29" s="266">
        <f t="shared" si="22"/>
        <v>146031.04497936126</v>
      </c>
      <c r="AF29" s="266">
        <f t="shared" si="23"/>
        <v>65444.442442112238</v>
      </c>
      <c r="AG29" s="268">
        <f t="shared" si="23"/>
        <v>82046.91298704264</v>
      </c>
      <c r="AH29" s="266">
        <f t="shared" si="23"/>
        <v>147491.35542915488</v>
      </c>
    </row>
    <row r="30" spans="1:45" x14ac:dyDescent="0.25">
      <c r="A30" s="11" t="s">
        <v>595</v>
      </c>
      <c r="B30" s="11">
        <v>50720</v>
      </c>
      <c r="C30" s="11">
        <v>60523</v>
      </c>
      <c r="D30" s="11">
        <v>111243</v>
      </c>
      <c r="E30" s="266">
        <f t="shared" si="12"/>
        <v>51227.199999999997</v>
      </c>
      <c r="F30" s="266">
        <f t="shared" si="12"/>
        <v>61128.23</v>
      </c>
      <c r="G30" s="266">
        <f t="shared" si="12"/>
        <v>112355.43000000001</v>
      </c>
      <c r="H30" s="266">
        <f t="shared" si="13"/>
        <v>51739.472000000002</v>
      </c>
      <c r="I30" s="266">
        <f t="shared" si="13"/>
        <v>61739.512300000002</v>
      </c>
      <c r="J30" s="266">
        <f t="shared" si="13"/>
        <v>113478.9843</v>
      </c>
      <c r="K30" s="266">
        <f t="shared" si="14"/>
        <v>52256.866719999998</v>
      </c>
      <c r="L30" s="266">
        <f t="shared" si="14"/>
        <v>62356.907422999997</v>
      </c>
      <c r="M30" s="266">
        <f t="shared" si="14"/>
        <v>114613.77414299999</v>
      </c>
      <c r="N30" s="266">
        <f t="shared" si="15"/>
        <v>52779.435387199999</v>
      </c>
      <c r="O30" s="266">
        <f t="shared" si="15"/>
        <v>62980.476497230004</v>
      </c>
      <c r="P30" s="266">
        <f t="shared" si="15"/>
        <v>115759.91188443</v>
      </c>
      <c r="Q30" s="266">
        <f t="shared" si="16"/>
        <v>53307.229741071998</v>
      </c>
      <c r="R30" s="266">
        <f t="shared" si="16"/>
        <v>63610.281262202298</v>
      </c>
      <c r="S30" s="266">
        <f t="shared" si="16"/>
        <v>116917.5110032743</v>
      </c>
      <c r="T30" s="266">
        <f t="shared" si="17"/>
        <v>53840.302038482725</v>
      </c>
      <c r="U30" s="266">
        <f t="shared" si="17"/>
        <v>64246.384074824331</v>
      </c>
      <c r="V30" s="266">
        <f t="shared" si="17"/>
        <v>118086.68611330706</v>
      </c>
      <c r="W30" s="266">
        <f t="shared" si="18"/>
        <v>54378.705058867541</v>
      </c>
      <c r="X30" s="266">
        <f t="shared" si="19"/>
        <v>124110.29388808979</v>
      </c>
      <c r="Y30" s="266">
        <f t="shared" si="20"/>
        <v>64888.847915572558</v>
      </c>
      <c r="Z30" s="267">
        <f t="shared" si="21"/>
        <v>54922.492109456231</v>
      </c>
      <c r="AA30" s="267">
        <f t="shared" si="21"/>
        <v>65537.736394728301</v>
      </c>
      <c r="AB30" s="267">
        <f t="shared" si="21"/>
        <v>120460.22850418453</v>
      </c>
      <c r="AC30" s="266">
        <f t="shared" si="22"/>
        <v>55471.717030550797</v>
      </c>
      <c r="AD30" s="266">
        <f t="shared" si="22"/>
        <v>66193.113758675594</v>
      </c>
      <c r="AE30" s="266">
        <f t="shared" si="22"/>
        <v>121664.83078922638</v>
      </c>
      <c r="AF30" s="266">
        <f t="shared" si="23"/>
        <v>56026.434200856304</v>
      </c>
      <c r="AG30" s="268">
        <f t="shared" si="23"/>
        <v>66855.044896262349</v>
      </c>
      <c r="AH30" s="266">
        <f t="shared" si="23"/>
        <v>122881.47909711864</v>
      </c>
    </row>
    <row r="31" spans="1:45" x14ac:dyDescent="0.25">
      <c r="A31" s="11" t="s">
        <v>596</v>
      </c>
      <c r="B31" s="11">
        <v>42385</v>
      </c>
      <c r="C31" s="11">
        <v>48409</v>
      </c>
      <c r="D31" s="11">
        <v>90794</v>
      </c>
      <c r="E31" s="266">
        <f t="shared" si="12"/>
        <v>42808.85</v>
      </c>
      <c r="F31" s="266">
        <f t="shared" si="12"/>
        <v>48893.090000000004</v>
      </c>
      <c r="G31" s="266">
        <f t="shared" si="12"/>
        <v>91701.94</v>
      </c>
      <c r="H31" s="266">
        <f t="shared" si="13"/>
        <v>43236.938500000004</v>
      </c>
      <c r="I31" s="266">
        <f t="shared" si="13"/>
        <v>49382.020900000003</v>
      </c>
      <c r="J31" s="266">
        <f t="shared" si="13"/>
        <v>92618.959400000007</v>
      </c>
      <c r="K31" s="266">
        <f t="shared" si="14"/>
        <v>43669.307884999995</v>
      </c>
      <c r="L31" s="266">
        <f t="shared" si="14"/>
        <v>49875.841108999994</v>
      </c>
      <c r="M31" s="266">
        <f t="shared" si="14"/>
        <v>93545.148993999988</v>
      </c>
      <c r="N31" s="266">
        <f t="shared" si="15"/>
        <v>44106.000963849998</v>
      </c>
      <c r="O31" s="266">
        <f t="shared" si="15"/>
        <v>50374.59952009</v>
      </c>
      <c r="P31" s="266">
        <f t="shared" si="15"/>
        <v>94480.600483939998</v>
      </c>
      <c r="Q31" s="266">
        <f t="shared" si="16"/>
        <v>44547.0609734885</v>
      </c>
      <c r="R31" s="266">
        <f t="shared" si="16"/>
        <v>50878.345515290894</v>
      </c>
      <c r="S31" s="266">
        <f t="shared" si="16"/>
        <v>95425.406488779394</v>
      </c>
      <c r="T31" s="266">
        <f t="shared" si="17"/>
        <v>44992.53158322339</v>
      </c>
      <c r="U31" s="266">
        <f t="shared" si="17"/>
        <v>51387.128970443817</v>
      </c>
      <c r="V31" s="266">
        <f t="shared" si="17"/>
        <v>96379.6605536672</v>
      </c>
      <c r="W31" s="266">
        <f t="shared" si="18"/>
        <v>45442.456899055614</v>
      </c>
      <c r="X31" s="266">
        <f t="shared" si="19"/>
        <v>101295.99186713074</v>
      </c>
      <c r="Y31" s="266">
        <f t="shared" si="20"/>
        <v>51901.000260148241</v>
      </c>
      <c r="Z31" s="267">
        <f t="shared" si="21"/>
        <v>45896.88146804618</v>
      </c>
      <c r="AA31" s="267">
        <f t="shared" si="21"/>
        <v>52420.010262749733</v>
      </c>
      <c r="AB31" s="267">
        <f t="shared" si="21"/>
        <v>98316.89173079592</v>
      </c>
      <c r="AC31" s="266">
        <f t="shared" si="22"/>
        <v>46355.850282726642</v>
      </c>
      <c r="AD31" s="266">
        <f t="shared" si="22"/>
        <v>52944.210365377236</v>
      </c>
      <c r="AE31" s="266">
        <f t="shared" si="22"/>
        <v>99300.060648103885</v>
      </c>
      <c r="AF31" s="266">
        <f t="shared" si="23"/>
        <v>46819.408785553911</v>
      </c>
      <c r="AG31" s="268">
        <f t="shared" si="23"/>
        <v>53473.652469031011</v>
      </c>
      <c r="AH31" s="266">
        <f t="shared" si="23"/>
        <v>100293.06125458493</v>
      </c>
    </row>
    <row r="32" spans="1:45" x14ac:dyDescent="0.25">
      <c r="A32" s="11" t="s">
        <v>597</v>
      </c>
      <c r="B32" s="11">
        <v>31257</v>
      </c>
      <c r="C32" s="11">
        <v>33883</v>
      </c>
      <c r="D32" s="11">
        <v>65140</v>
      </c>
      <c r="E32" s="266">
        <f t="shared" si="12"/>
        <v>31569.57</v>
      </c>
      <c r="F32" s="266">
        <f t="shared" si="12"/>
        <v>34221.83</v>
      </c>
      <c r="G32" s="266">
        <f t="shared" si="12"/>
        <v>65791.399999999994</v>
      </c>
      <c r="H32" s="266">
        <f t="shared" si="13"/>
        <v>31885.2657</v>
      </c>
      <c r="I32" s="266">
        <f t="shared" si="13"/>
        <v>34564.048300000002</v>
      </c>
      <c r="J32" s="266">
        <f t="shared" si="13"/>
        <v>66449.313999999998</v>
      </c>
      <c r="K32" s="266">
        <f t="shared" si="14"/>
        <v>32204.118356999996</v>
      </c>
      <c r="L32" s="266">
        <f t="shared" si="14"/>
        <v>34909.688782999998</v>
      </c>
      <c r="M32" s="266">
        <f t="shared" si="14"/>
        <v>67113.80713999999</v>
      </c>
      <c r="N32" s="266">
        <f t="shared" si="15"/>
        <v>32526.159540569999</v>
      </c>
      <c r="O32" s="266">
        <f t="shared" si="15"/>
        <v>35258.785670830002</v>
      </c>
      <c r="P32" s="266">
        <f t="shared" si="15"/>
        <v>67784.945211400001</v>
      </c>
      <c r="Q32" s="266">
        <f t="shared" si="16"/>
        <v>32851.421135975696</v>
      </c>
      <c r="R32" s="266">
        <f t="shared" si="16"/>
        <v>35611.373527538301</v>
      </c>
      <c r="S32" s="266">
        <f t="shared" si="16"/>
        <v>68462.794663513996</v>
      </c>
      <c r="T32" s="266">
        <f t="shared" si="17"/>
        <v>33179.935347335464</v>
      </c>
      <c r="U32" s="266">
        <f t="shared" si="17"/>
        <v>35967.487262813687</v>
      </c>
      <c r="V32" s="266">
        <f t="shared" si="17"/>
        <v>69147.422610149151</v>
      </c>
      <c r="W32" s="266">
        <f t="shared" si="18"/>
        <v>33511.734700808804</v>
      </c>
      <c r="X32" s="266">
        <f t="shared" si="19"/>
        <v>72674.636101778713</v>
      </c>
      <c r="Y32" s="266">
        <f t="shared" si="20"/>
        <v>36327.162135441817</v>
      </c>
      <c r="Z32" s="267">
        <f t="shared" si="21"/>
        <v>33846.852047816901</v>
      </c>
      <c r="AA32" s="267">
        <f t="shared" si="21"/>
        <v>36690.433756796243</v>
      </c>
      <c r="AB32" s="267">
        <f t="shared" si="21"/>
        <v>70537.285804613144</v>
      </c>
      <c r="AC32" s="266">
        <f t="shared" si="22"/>
        <v>34185.320568295072</v>
      </c>
      <c r="AD32" s="266">
        <f t="shared" si="22"/>
        <v>37057.338094364204</v>
      </c>
      <c r="AE32" s="266">
        <f t="shared" si="22"/>
        <v>71242.658662659276</v>
      </c>
      <c r="AF32" s="266">
        <f t="shared" si="23"/>
        <v>34527.173773978029</v>
      </c>
      <c r="AG32" s="268">
        <f t="shared" si="23"/>
        <v>37427.911475307854</v>
      </c>
      <c r="AH32" s="266">
        <f t="shared" si="23"/>
        <v>71955.085249285883</v>
      </c>
    </row>
    <row r="33" spans="1:45" x14ac:dyDescent="0.25">
      <c r="A33" s="11" t="s">
        <v>598</v>
      </c>
      <c r="B33" s="11">
        <v>19852</v>
      </c>
      <c r="C33" s="11">
        <v>24949</v>
      </c>
      <c r="D33" s="11">
        <v>44801</v>
      </c>
      <c r="E33" s="266">
        <f t="shared" si="12"/>
        <v>20050.52</v>
      </c>
      <c r="F33" s="266">
        <f t="shared" si="12"/>
        <v>25198.49</v>
      </c>
      <c r="G33" s="266">
        <f t="shared" si="12"/>
        <v>45249.01</v>
      </c>
      <c r="H33" s="266">
        <f t="shared" si="13"/>
        <v>20251.0252</v>
      </c>
      <c r="I33" s="266">
        <f t="shared" si="13"/>
        <v>25450.474900000001</v>
      </c>
      <c r="J33" s="266">
        <f t="shared" si="13"/>
        <v>45701.500099999997</v>
      </c>
      <c r="K33" s="266">
        <f t="shared" si="14"/>
        <v>20453.535451999996</v>
      </c>
      <c r="L33" s="266">
        <f t="shared" si="14"/>
        <v>25704.979648999997</v>
      </c>
      <c r="M33" s="266">
        <f t="shared" si="14"/>
        <v>46158.515100999997</v>
      </c>
      <c r="N33" s="266">
        <f t="shared" si="15"/>
        <v>20658.070806520001</v>
      </c>
      <c r="O33" s="266">
        <f t="shared" si="15"/>
        <v>25962.029445489999</v>
      </c>
      <c r="P33" s="266">
        <f t="shared" si="15"/>
        <v>46620.100252010001</v>
      </c>
      <c r="Q33" s="266">
        <f t="shared" si="16"/>
        <v>20864.651514585199</v>
      </c>
      <c r="R33" s="266">
        <f t="shared" si="16"/>
        <v>26221.6497399449</v>
      </c>
      <c r="S33" s="266">
        <f t="shared" si="16"/>
        <v>47086.301254530095</v>
      </c>
      <c r="T33" s="266">
        <f t="shared" si="17"/>
        <v>21073.298029731053</v>
      </c>
      <c r="U33" s="266">
        <f t="shared" si="17"/>
        <v>26483.866237344351</v>
      </c>
      <c r="V33" s="266">
        <f t="shared" si="17"/>
        <v>47557.164267075408</v>
      </c>
      <c r="W33" s="266">
        <f t="shared" si="18"/>
        <v>21284.03101002836</v>
      </c>
      <c r="X33" s="266">
        <f t="shared" si="19"/>
        <v>49983.057598952837</v>
      </c>
      <c r="Y33" s="266">
        <f t="shared" si="20"/>
        <v>26748.704899717788</v>
      </c>
      <c r="Z33" s="267">
        <f t="shared" si="21"/>
        <v>21496.871320128648</v>
      </c>
      <c r="AA33" s="267">
        <f t="shared" si="21"/>
        <v>27016.191948714975</v>
      </c>
      <c r="AB33" s="267">
        <f t="shared" si="21"/>
        <v>48513.063268843624</v>
      </c>
      <c r="AC33" s="266">
        <f t="shared" si="22"/>
        <v>21711.840033329936</v>
      </c>
      <c r="AD33" s="266">
        <f t="shared" si="22"/>
        <v>27286.353868202124</v>
      </c>
      <c r="AE33" s="266">
        <f t="shared" si="22"/>
        <v>48998.19390153206</v>
      </c>
      <c r="AF33" s="266">
        <f t="shared" si="23"/>
        <v>21928.958433663236</v>
      </c>
      <c r="AG33" s="268">
        <f t="shared" si="23"/>
        <v>27559.217406884149</v>
      </c>
      <c r="AH33" s="266">
        <f t="shared" si="23"/>
        <v>49488.175840547381</v>
      </c>
    </row>
    <row r="34" spans="1:45" x14ac:dyDescent="0.25">
      <c r="A34" s="11" t="s">
        <v>599</v>
      </c>
      <c r="B34" s="11">
        <v>17146</v>
      </c>
      <c r="C34" s="11">
        <v>31149</v>
      </c>
      <c r="D34" s="11">
        <v>48295</v>
      </c>
      <c r="E34" s="266">
        <f t="shared" si="12"/>
        <v>17317.46</v>
      </c>
      <c r="F34" s="266">
        <f t="shared" si="12"/>
        <v>31460.49</v>
      </c>
      <c r="G34" s="266">
        <f t="shared" si="12"/>
        <v>48777.95</v>
      </c>
      <c r="H34" s="266">
        <f t="shared" si="13"/>
        <v>17490.634600000001</v>
      </c>
      <c r="I34" s="266">
        <f t="shared" si="13"/>
        <v>31775.0949</v>
      </c>
      <c r="J34" s="266">
        <f t="shared" si="13"/>
        <v>49265.729500000001</v>
      </c>
      <c r="K34" s="266">
        <f t="shared" si="14"/>
        <v>17665.540945999997</v>
      </c>
      <c r="L34" s="266">
        <f t="shared" si="14"/>
        <v>32092.845848999998</v>
      </c>
      <c r="M34" s="266">
        <f t="shared" si="14"/>
        <v>49758.386794999999</v>
      </c>
      <c r="N34" s="266">
        <f t="shared" si="15"/>
        <v>17842.196355460001</v>
      </c>
      <c r="O34" s="266">
        <f t="shared" si="15"/>
        <v>32413.774307489999</v>
      </c>
      <c r="P34" s="266">
        <f t="shared" si="15"/>
        <v>50255.97066295</v>
      </c>
      <c r="Q34" s="266">
        <f t="shared" si="16"/>
        <v>18020.6183190146</v>
      </c>
      <c r="R34" s="266">
        <f t="shared" si="16"/>
        <v>32737.912050564897</v>
      </c>
      <c r="S34" s="266">
        <f t="shared" si="16"/>
        <v>50758.530369579494</v>
      </c>
      <c r="T34" s="266">
        <f t="shared" si="17"/>
        <v>18200.824502204749</v>
      </c>
      <c r="U34" s="266">
        <f t="shared" si="17"/>
        <v>33065.291171070552</v>
      </c>
      <c r="V34" s="266">
        <f t="shared" si="17"/>
        <v>51266.115673275301</v>
      </c>
      <c r="W34" s="266">
        <f t="shared" si="18"/>
        <v>18382.832747226792</v>
      </c>
      <c r="X34" s="266">
        <f t="shared" si="19"/>
        <v>53881.202802201457</v>
      </c>
      <c r="Y34" s="266">
        <f t="shared" si="20"/>
        <v>33395.94408278125</v>
      </c>
      <c r="Z34" s="267">
        <f t="shared" si="21"/>
        <v>18566.661074699063</v>
      </c>
      <c r="AA34" s="267">
        <f t="shared" si="21"/>
        <v>33729.903523609071</v>
      </c>
      <c r="AB34" s="267">
        <f t="shared" si="21"/>
        <v>52296.564598308134</v>
      </c>
      <c r="AC34" s="266">
        <f t="shared" si="22"/>
        <v>18752.327685446056</v>
      </c>
      <c r="AD34" s="266">
        <f t="shared" si="22"/>
        <v>34067.202558845165</v>
      </c>
      <c r="AE34" s="266">
        <f t="shared" si="22"/>
        <v>52819.530244291222</v>
      </c>
      <c r="AF34" s="266">
        <f t="shared" si="23"/>
        <v>18939.850962300516</v>
      </c>
      <c r="AG34" s="268">
        <f t="shared" si="23"/>
        <v>34407.874584433615</v>
      </c>
      <c r="AH34" s="266">
        <f t="shared" si="23"/>
        <v>53347.725546734131</v>
      </c>
    </row>
    <row r="35" spans="1:45" x14ac:dyDescent="0.25">
      <c r="A35" s="11" t="s">
        <v>600</v>
      </c>
      <c r="B35" s="11">
        <v>14686</v>
      </c>
      <c r="C35" s="11">
        <v>23311</v>
      </c>
      <c r="D35" s="11">
        <v>37997</v>
      </c>
      <c r="E35" s="266">
        <f t="shared" si="12"/>
        <v>14832.86</v>
      </c>
      <c r="F35" s="266">
        <f t="shared" si="12"/>
        <v>23544.11</v>
      </c>
      <c r="G35" s="266">
        <f t="shared" si="12"/>
        <v>38376.97</v>
      </c>
      <c r="H35" s="266">
        <f t="shared" si="13"/>
        <v>14981.188599999999</v>
      </c>
      <c r="I35" s="266">
        <f t="shared" si="13"/>
        <v>23779.551100000001</v>
      </c>
      <c r="J35" s="266">
        <f t="shared" si="13"/>
        <v>38760.739699999998</v>
      </c>
      <c r="K35" s="266">
        <f t="shared" si="14"/>
        <v>15131.000485999999</v>
      </c>
      <c r="L35" s="266">
        <f t="shared" si="14"/>
        <v>24017.346610999997</v>
      </c>
      <c r="M35" s="266">
        <f t="shared" si="14"/>
        <v>39148.347096999998</v>
      </c>
      <c r="N35" s="266">
        <f t="shared" si="15"/>
        <v>15282.31049086</v>
      </c>
      <c r="O35" s="266">
        <f t="shared" si="15"/>
        <v>24257.520077109999</v>
      </c>
      <c r="P35" s="266">
        <f t="shared" si="15"/>
        <v>39539.830567969999</v>
      </c>
      <c r="Q35" s="266">
        <f t="shared" si="16"/>
        <v>15435.133595768599</v>
      </c>
      <c r="R35" s="266">
        <f t="shared" si="16"/>
        <v>24500.095277881097</v>
      </c>
      <c r="S35" s="266">
        <f t="shared" si="16"/>
        <v>39935.228873649699</v>
      </c>
      <c r="T35" s="266">
        <f t="shared" si="17"/>
        <v>15589.484931726289</v>
      </c>
      <c r="U35" s="266">
        <f t="shared" si="17"/>
        <v>24745.096230659914</v>
      </c>
      <c r="V35" s="266">
        <f t="shared" si="17"/>
        <v>40334.581162386203</v>
      </c>
      <c r="W35" s="266">
        <f t="shared" si="18"/>
        <v>15745.379781043546</v>
      </c>
      <c r="X35" s="266">
        <f t="shared" si="19"/>
        <v>42392.050168242022</v>
      </c>
      <c r="Y35" s="266">
        <f t="shared" si="20"/>
        <v>24992.547192966507</v>
      </c>
      <c r="Z35" s="267">
        <f t="shared" si="21"/>
        <v>15902.833578853986</v>
      </c>
      <c r="AA35" s="267">
        <f t="shared" si="21"/>
        <v>25242.472664896177</v>
      </c>
      <c r="AB35" s="267">
        <f t="shared" si="21"/>
        <v>41145.306243750165</v>
      </c>
      <c r="AC35" s="266">
        <f t="shared" si="22"/>
        <v>16061.861914642528</v>
      </c>
      <c r="AD35" s="266">
        <f t="shared" si="22"/>
        <v>25494.897391545142</v>
      </c>
      <c r="AE35" s="266">
        <f t="shared" si="22"/>
        <v>41556.759306187669</v>
      </c>
      <c r="AF35" s="266">
        <f t="shared" si="23"/>
        <v>16222.480533788952</v>
      </c>
      <c r="AG35" s="268">
        <f t="shared" si="23"/>
        <v>25749.846365460595</v>
      </c>
      <c r="AH35" s="266">
        <f t="shared" si="23"/>
        <v>41972.326899249543</v>
      </c>
    </row>
    <row r="36" spans="1:45" x14ac:dyDescent="0.25">
      <c r="A36" s="11" t="s">
        <v>601</v>
      </c>
      <c r="B36" s="11">
        <v>13103</v>
      </c>
      <c r="C36" s="11">
        <v>20715</v>
      </c>
      <c r="D36" s="11">
        <v>33818</v>
      </c>
      <c r="E36" s="266">
        <f t="shared" si="12"/>
        <v>13234.03</v>
      </c>
      <c r="F36" s="266">
        <f t="shared" si="12"/>
        <v>20922.150000000001</v>
      </c>
      <c r="G36" s="266">
        <f t="shared" si="12"/>
        <v>34156.18</v>
      </c>
      <c r="H36" s="266">
        <f t="shared" si="13"/>
        <v>13366.3703</v>
      </c>
      <c r="I36" s="266">
        <f t="shared" si="13"/>
        <v>21131.371500000001</v>
      </c>
      <c r="J36" s="266">
        <f t="shared" si="13"/>
        <v>34497.741800000003</v>
      </c>
      <c r="K36" s="266">
        <f t="shared" si="14"/>
        <v>13500.034002999999</v>
      </c>
      <c r="L36" s="266">
        <f t="shared" si="14"/>
        <v>21342.685214999998</v>
      </c>
      <c r="M36" s="266">
        <f t="shared" si="14"/>
        <v>34842.719217999998</v>
      </c>
      <c r="N36" s="266">
        <f t="shared" si="15"/>
        <v>13635.03434303</v>
      </c>
      <c r="O36" s="266">
        <f t="shared" si="15"/>
        <v>21556.112067149999</v>
      </c>
      <c r="P36" s="266">
        <f t="shared" si="15"/>
        <v>35191.146410180001</v>
      </c>
      <c r="Q36" s="266">
        <f t="shared" si="16"/>
        <v>13771.384686460298</v>
      </c>
      <c r="R36" s="266">
        <f t="shared" si="16"/>
        <v>21771.6731878215</v>
      </c>
      <c r="S36" s="266">
        <f t="shared" si="16"/>
        <v>35543.057874281796</v>
      </c>
      <c r="T36" s="266">
        <f t="shared" si="17"/>
        <v>13909.098533324905</v>
      </c>
      <c r="U36" s="266">
        <f t="shared" si="17"/>
        <v>21989.389919699719</v>
      </c>
      <c r="V36" s="266">
        <f t="shared" si="17"/>
        <v>35898.48845302462</v>
      </c>
      <c r="W36" s="266">
        <f t="shared" si="18"/>
        <v>14048.18951865815</v>
      </c>
      <c r="X36" s="266">
        <f t="shared" si="19"/>
        <v>37729.672147527672</v>
      </c>
      <c r="Y36" s="266">
        <f t="shared" si="20"/>
        <v>22209.283818896707</v>
      </c>
      <c r="Z36" s="267">
        <f t="shared" si="21"/>
        <v>14188.671413844735</v>
      </c>
      <c r="AA36" s="267">
        <f t="shared" si="21"/>
        <v>22431.376657085682</v>
      </c>
      <c r="AB36" s="267">
        <f t="shared" si="21"/>
        <v>36620.048070930417</v>
      </c>
      <c r="AC36" s="266">
        <f t="shared" si="22"/>
        <v>14330.558127983184</v>
      </c>
      <c r="AD36" s="266">
        <f t="shared" si="22"/>
        <v>22655.690423656539</v>
      </c>
      <c r="AE36" s="266">
        <f t="shared" si="22"/>
        <v>36986.248551639721</v>
      </c>
      <c r="AF36" s="266">
        <f t="shared" si="23"/>
        <v>14473.863709263016</v>
      </c>
      <c r="AG36" s="268">
        <f t="shared" si="23"/>
        <v>22882.247327893107</v>
      </c>
      <c r="AH36" s="266">
        <f t="shared" si="23"/>
        <v>37356.111037156123</v>
      </c>
    </row>
    <row r="37" spans="1:45" x14ac:dyDescent="0.25">
      <c r="A37" s="11" t="s">
        <v>602</v>
      </c>
      <c r="B37" s="11">
        <v>10412</v>
      </c>
      <c r="C37" s="11">
        <v>14917</v>
      </c>
      <c r="D37" s="11">
        <v>25329</v>
      </c>
      <c r="E37" s="266">
        <f t="shared" si="12"/>
        <v>10516.12</v>
      </c>
      <c r="F37" s="266">
        <f t="shared" si="12"/>
        <v>15066.17</v>
      </c>
      <c r="G37" s="266">
        <f t="shared" si="12"/>
        <v>25582.29</v>
      </c>
      <c r="H37" s="266">
        <f t="shared" si="13"/>
        <v>10621.281199999999</v>
      </c>
      <c r="I37" s="266">
        <f t="shared" si="13"/>
        <v>15216.831700000001</v>
      </c>
      <c r="J37" s="266">
        <f t="shared" si="13"/>
        <v>25838.1129</v>
      </c>
      <c r="K37" s="266">
        <f t="shared" si="14"/>
        <v>10727.494011999999</v>
      </c>
      <c r="L37" s="266">
        <f t="shared" si="14"/>
        <v>15369.000016999998</v>
      </c>
      <c r="M37" s="266">
        <f t="shared" si="14"/>
        <v>26096.494028999998</v>
      </c>
      <c r="N37" s="266">
        <f t="shared" si="15"/>
        <v>10834.768952120001</v>
      </c>
      <c r="O37" s="266">
        <f t="shared" si="15"/>
        <v>15522.69001717</v>
      </c>
      <c r="P37" s="266">
        <f t="shared" si="15"/>
        <v>26357.458969290001</v>
      </c>
      <c r="Q37" s="266">
        <f t="shared" si="16"/>
        <v>10943.1166416412</v>
      </c>
      <c r="R37" s="266">
        <f t="shared" si="16"/>
        <v>15677.916917341699</v>
      </c>
      <c r="S37" s="266">
        <f t="shared" si="16"/>
        <v>26621.033558982897</v>
      </c>
      <c r="T37" s="266">
        <f t="shared" si="17"/>
        <v>11052.547808057614</v>
      </c>
      <c r="U37" s="266">
        <f t="shared" si="17"/>
        <v>15834.69608651512</v>
      </c>
      <c r="V37" s="266">
        <f t="shared" si="17"/>
        <v>26887.243894572734</v>
      </c>
      <c r="W37" s="266">
        <f t="shared" si="18"/>
        <v>11163.073286138186</v>
      </c>
      <c r="X37" s="266">
        <f t="shared" si="19"/>
        <v>28258.763552685799</v>
      </c>
      <c r="Y37" s="266">
        <f t="shared" si="20"/>
        <v>15993.043047380266</v>
      </c>
      <c r="Z37" s="267">
        <f t="shared" si="21"/>
        <v>11274.704018999571</v>
      </c>
      <c r="AA37" s="267">
        <f t="shared" si="21"/>
        <v>16152.973477854073</v>
      </c>
      <c r="AB37" s="267">
        <f t="shared" si="21"/>
        <v>27427.677496853645</v>
      </c>
      <c r="AC37" s="266">
        <f t="shared" si="22"/>
        <v>11387.451059189569</v>
      </c>
      <c r="AD37" s="266">
        <f t="shared" si="22"/>
        <v>16314.503212632615</v>
      </c>
      <c r="AE37" s="266">
        <f t="shared" si="22"/>
        <v>27701.954271822182</v>
      </c>
      <c r="AF37" s="266">
        <f t="shared" si="23"/>
        <v>11501.325569781464</v>
      </c>
      <c r="AG37" s="268">
        <f t="shared" si="23"/>
        <v>16477.648244758941</v>
      </c>
      <c r="AH37" s="266">
        <f t="shared" si="23"/>
        <v>27978.973814540404</v>
      </c>
    </row>
    <row r="38" spans="1:45" x14ac:dyDescent="0.25">
      <c r="A38" s="11" t="s">
        <v>603</v>
      </c>
      <c r="B38" s="11">
        <v>9446</v>
      </c>
      <c r="C38" s="11">
        <v>12132</v>
      </c>
      <c r="D38" s="11">
        <v>21578</v>
      </c>
      <c r="E38" s="266">
        <f t="shared" si="12"/>
        <v>9540.4600000000009</v>
      </c>
      <c r="F38" s="266">
        <f t="shared" si="12"/>
        <v>12253.32</v>
      </c>
      <c r="G38" s="266">
        <f t="shared" si="12"/>
        <v>21793.78</v>
      </c>
      <c r="H38" s="266">
        <f t="shared" si="13"/>
        <v>9635.8646000000008</v>
      </c>
      <c r="I38" s="266">
        <f t="shared" si="13"/>
        <v>12375.8532</v>
      </c>
      <c r="J38" s="266">
        <f t="shared" si="13"/>
        <v>22011.717799999999</v>
      </c>
      <c r="K38" s="266">
        <f t="shared" si="14"/>
        <v>9732.2232459999996</v>
      </c>
      <c r="L38" s="266">
        <f t="shared" si="14"/>
        <v>12499.611731999999</v>
      </c>
      <c r="M38" s="266">
        <f t="shared" si="14"/>
        <v>22231.834977999999</v>
      </c>
      <c r="N38" s="266">
        <f t="shared" si="15"/>
        <v>9829.5454784600006</v>
      </c>
      <c r="O38" s="266">
        <f t="shared" si="15"/>
        <v>12624.60784932</v>
      </c>
      <c r="P38" s="266">
        <f t="shared" si="15"/>
        <v>22454.153327780001</v>
      </c>
      <c r="Q38" s="266">
        <f t="shared" si="16"/>
        <v>9927.840933244599</v>
      </c>
      <c r="R38" s="266">
        <f t="shared" si="16"/>
        <v>12750.853927813199</v>
      </c>
      <c r="S38" s="266">
        <f t="shared" si="16"/>
        <v>22678.6948610578</v>
      </c>
      <c r="T38" s="266">
        <f t="shared" si="17"/>
        <v>10027.119342577047</v>
      </c>
      <c r="U38" s="266">
        <f t="shared" si="17"/>
        <v>12878.362467091334</v>
      </c>
      <c r="V38" s="266">
        <f t="shared" si="17"/>
        <v>22905.481809668381</v>
      </c>
      <c r="W38" s="266">
        <f t="shared" si="18"/>
        <v>10127.390536002815</v>
      </c>
      <c r="X38" s="266">
        <f t="shared" si="19"/>
        <v>24073.891584344197</v>
      </c>
      <c r="Y38" s="266">
        <f t="shared" si="20"/>
        <v>13007.146091762243</v>
      </c>
      <c r="Z38" s="267">
        <f t="shared" si="21"/>
        <v>10228.664441362846</v>
      </c>
      <c r="AA38" s="267">
        <f t="shared" si="21"/>
        <v>13137.217552679869</v>
      </c>
      <c r="AB38" s="267">
        <f t="shared" si="21"/>
        <v>23365.881994042717</v>
      </c>
      <c r="AC38" s="266">
        <f t="shared" si="22"/>
        <v>10330.951085776474</v>
      </c>
      <c r="AD38" s="266">
        <f t="shared" si="22"/>
        <v>13268.589728206669</v>
      </c>
      <c r="AE38" s="266">
        <f t="shared" si="22"/>
        <v>23599.540813983145</v>
      </c>
      <c r="AF38" s="266">
        <f t="shared" si="23"/>
        <v>10434.26059663424</v>
      </c>
      <c r="AG38" s="268">
        <f t="shared" si="23"/>
        <v>13401.275625488735</v>
      </c>
      <c r="AH38" s="266">
        <f t="shared" si="23"/>
        <v>23835.536222122977</v>
      </c>
    </row>
    <row r="39" spans="1:45" x14ac:dyDescent="0.25">
      <c r="A39" s="11" t="s">
        <v>604</v>
      </c>
      <c r="B39" s="11">
        <v>14600</v>
      </c>
      <c r="C39" s="11">
        <v>19775</v>
      </c>
      <c r="D39" s="11">
        <v>34375</v>
      </c>
      <c r="E39" s="266">
        <f t="shared" si="12"/>
        <v>14746</v>
      </c>
      <c r="F39" s="266">
        <f t="shared" si="12"/>
        <v>19972.75</v>
      </c>
      <c r="G39" s="266">
        <f t="shared" si="12"/>
        <v>34718.75</v>
      </c>
      <c r="H39" s="266">
        <f t="shared" si="13"/>
        <v>14893.460000000001</v>
      </c>
      <c r="I39" s="266">
        <f t="shared" si="13"/>
        <v>20172.477500000001</v>
      </c>
      <c r="J39" s="266">
        <f t="shared" si="13"/>
        <v>35065.9375</v>
      </c>
      <c r="K39" s="266">
        <f t="shared" si="14"/>
        <v>15042.394599999998</v>
      </c>
      <c r="L39" s="266">
        <f>C39*1.01^3</f>
        <v>20374.202275</v>
      </c>
      <c r="M39" s="266">
        <f t="shared" si="14"/>
        <v>35416.596874999996</v>
      </c>
      <c r="N39" s="266">
        <f t="shared" si="15"/>
        <v>15192.818546</v>
      </c>
      <c r="O39" s="266">
        <f t="shared" si="15"/>
        <v>20577.94429775</v>
      </c>
      <c r="P39" s="266">
        <f t="shared" si="15"/>
        <v>35770.762843750003</v>
      </c>
      <c r="Q39" s="266">
        <f t="shared" si="16"/>
        <v>15344.746731459998</v>
      </c>
      <c r="R39" s="266">
        <f t="shared" si="16"/>
        <v>20783.723740727499</v>
      </c>
      <c r="S39" s="266">
        <f t="shared" si="16"/>
        <v>36128.470472187495</v>
      </c>
      <c r="T39" s="266">
        <f t="shared" si="17"/>
        <v>15498.194198774601</v>
      </c>
      <c r="U39" s="266">
        <f t="shared" si="17"/>
        <v>20991.560978134778</v>
      </c>
      <c r="V39" s="266">
        <f t="shared" si="17"/>
        <v>36489.755176909377</v>
      </c>
      <c r="W39" s="266">
        <f t="shared" si="18"/>
        <v>15653.176140762343</v>
      </c>
      <c r="X39" s="266">
        <f t="shared" si="19"/>
        <v>38351.099416620251</v>
      </c>
      <c r="Y39" s="266">
        <f t="shared" si="20"/>
        <v>21201.47658791612</v>
      </c>
      <c r="Z39" s="267">
        <f t="shared" si="21"/>
        <v>15809.707902169972</v>
      </c>
      <c r="AA39" s="267">
        <f t="shared" si="21"/>
        <v>21413.491353795285</v>
      </c>
      <c r="AB39" s="267">
        <f t="shared" si="21"/>
        <v>37223.199255965257</v>
      </c>
      <c r="AC39" s="266">
        <f t="shared" si="22"/>
        <v>15967.804981191672</v>
      </c>
      <c r="AD39" s="266">
        <f t="shared" si="22"/>
        <v>21627.626267333242</v>
      </c>
      <c r="AE39" s="266">
        <f t="shared" si="22"/>
        <v>37595.43124852491</v>
      </c>
      <c r="AF39" s="266">
        <f t="shared" si="23"/>
        <v>16127.483031003589</v>
      </c>
      <c r="AG39" s="268">
        <f t="shared" si="23"/>
        <v>21843.902530006573</v>
      </c>
      <c r="AH39" s="266">
        <f t="shared" si="23"/>
        <v>37971.38556101016</v>
      </c>
    </row>
    <row r="40" spans="1:45" x14ac:dyDescent="0.25">
      <c r="A40" s="11" t="s">
        <v>605</v>
      </c>
      <c r="B40" s="11">
        <v>1662</v>
      </c>
      <c r="C40" s="11">
        <v>1968</v>
      </c>
      <c r="D40" s="11">
        <v>3630</v>
      </c>
      <c r="E40" s="266">
        <f t="shared" si="12"/>
        <v>1678.6200000000001</v>
      </c>
      <c r="F40" s="266">
        <f t="shared" si="12"/>
        <v>1987.68</v>
      </c>
      <c r="G40" s="266">
        <f t="shared" si="12"/>
        <v>3666.3</v>
      </c>
      <c r="H40" s="266">
        <f t="shared" si="13"/>
        <v>1695.4061999999999</v>
      </c>
      <c r="I40" s="266">
        <f t="shared" si="13"/>
        <v>2007.5568000000001</v>
      </c>
      <c r="J40" s="266">
        <f t="shared" si="13"/>
        <v>3702.9630000000002</v>
      </c>
      <c r="K40" s="266">
        <f t="shared" si="14"/>
        <v>1712.3602619999999</v>
      </c>
      <c r="L40" s="266">
        <f t="shared" si="14"/>
        <v>2027.6323679999998</v>
      </c>
      <c r="M40" s="266">
        <f t="shared" si="14"/>
        <v>3739.9926299999997</v>
      </c>
      <c r="N40" s="266">
        <f t="shared" si="15"/>
        <v>1729.4838646200001</v>
      </c>
      <c r="O40" s="266">
        <f t="shared" si="15"/>
        <v>2047.9086916799999</v>
      </c>
      <c r="P40" s="266">
        <f t="shared" si="15"/>
        <v>3777.3925563000003</v>
      </c>
      <c r="Q40" s="266">
        <f t="shared" si="16"/>
        <v>1746.7787032662</v>
      </c>
      <c r="R40" s="266">
        <f t="shared" si="16"/>
        <v>2068.3877785967998</v>
      </c>
      <c r="S40" s="266">
        <f t="shared" si="16"/>
        <v>3815.1664818629997</v>
      </c>
      <c r="T40" s="266">
        <f t="shared" si="17"/>
        <v>1764.2464902988622</v>
      </c>
      <c r="U40" s="266">
        <f t="shared" si="17"/>
        <v>2089.0716563827682</v>
      </c>
      <c r="V40" s="266">
        <f t="shared" si="17"/>
        <v>3853.3181466816304</v>
      </c>
      <c r="W40" s="266">
        <f t="shared" si="18"/>
        <v>1781.8889552018504</v>
      </c>
      <c r="X40" s="266">
        <f t="shared" si="19"/>
        <v>4049.8760983950988</v>
      </c>
      <c r="Y40" s="266">
        <f t="shared" si="20"/>
        <v>2109.9623729465952</v>
      </c>
      <c r="Z40" s="267">
        <f t="shared" si="21"/>
        <v>1799.7078447538693</v>
      </c>
      <c r="AA40" s="267">
        <f t="shared" si="21"/>
        <v>2131.0619966760619</v>
      </c>
      <c r="AB40" s="267">
        <f t="shared" si="21"/>
        <v>3930.7698414299311</v>
      </c>
      <c r="AC40" s="266">
        <f t="shared" si="22"/>
        <v>1817.7049232014081</v>
      </c>
      <c r="AD40" s="266">
        <f t="shared" si="22"/>
        <v>2152.3726166428228</v>
      </c>
      <c r="AE40" s="266">
        <f t="shared" si="22"/>
        <v>3970.0775398442306</v>
      </c>
      <c r="AF40" s="266">
        <f t="shared" si="23"/>
        <v>1835.8819724334223</v>
      </c>
      <c r="AG40" s="268">
        <f t="shared" si="23"/>
        <v>2173.8963428092511</v>
      </c>
      <c r="AH40" s="266">
        <f t="shared" si="23"/>
        <v>4009.7783152426732</v>
      </c>
    </row>
    <row r="41" spans="1:45" x14ac:dyDescent="0.25">
      <c r="A41" s="263" t="s">
        <v>2</v>
      </c>
      <c r="B41" s="263">
        <v>830697</v>
      </c>
      <c r="C41" s="263">
        <v>922001</v>
      </c>
      <c r="D41" s="263">
        <v>1752698</v>
      </c>
      <c r="E41" s="270">
        <f t="shared" si="12"/>
        <v>839003.97</v>
      </c>
      <c r="F41" s="270">
        <f t="shared" si="12"/>
        <v>931221.01</v>
      </c>
      <c r="G41" s="270">
        <f t="shared" si="12"/>
        <v>1770224.98</v>
      </c>
      <c r="H41" s="270">
        <f t="shared" si="13"/>
        <v>847394.00970000005</v>
      </c>
      <c r="I41" s="270">
        <f t="shared" si="13"/>
        <v>940533.22010000004</v>
      </c>
      <c r="J41" s="270">
        <f t="shared" si="13"/>
        <v>1787927.2298000001</v>
      </c>
      <c r="K41" s="270">
        <f t="shared" si="14"/>
        <v>855867.94979699992</v>
      </c>
      <c r="L41" s="270">
        <f t="shared" si="14"/>
        <v>949938.55230099987</v>
      </c>
      <c r="M41" s="270">
        <f t="shared" si="14"/>
        <v>1805806.5020979999</v>
      </c>
      <c r="N41" s="270">
        <f t="shared" si="15"/>
        <v>864426.62929497007</v>
      </c>
      <c r="O41" s="270">
        <f t="shared" si="15"/>
        <v>959437.93782401003</v>
      </c>
      <c r="P41" s="270">
        <f t="shared" si="15"/>
        <v>1823864.56711898</v>
      </c>
      <c r="Q41" s="270">
        <f t="shared" si="16"/>
        <v>873070.89558791963</v>
      </c>
      <c r="R41" s="270">
        <f t="shared" si="16"/>
        <v>969032.31720225001</v>
      </c>
      <c r="S41" s="270">
        <f t="shared" si="16"/>
        <v>1842103.2127901698</v>
      </c>
      <c r="T41" s="270">
        <f t="shared" si="17"/>
        <v>881801.60454379895</v>
      </c>
      <c r="U41" s="270">
        <f t="shared" si="17"/>
        <v>978722.64037427271</v>
      </c>
      <c r="V41" s="270">
        <f t="shared" si="17"/>
        <v>1860524.2449180717</v>
      </c>
      <c r="W41" s="270">
        <f t="shared" si="18"/>
        <v>890619.62058923673</v>
      </c>
      <c r="X41" s="270">
        <f t="shared" si="19"/>
        <v>1955429.6798636066</v>
      </c>
      <c r="Y41" s="270">
        <f t="shared" si="20"/>
        <v>988509.86677801516</v>
      </c>
      <c r="Z41" s="271">
        <f t="shared" si="21"/>
        <v>899525.81679512933</v>
      </c>
      <c r="AA41" s="271">
        <f t="shared" si="21"/>
        <v>998394.96544579556</v>
      </c>
      <c r="AB41" s="271">
        <f t="shared" si="21"/>
        <v>1897920.7822409249</v>
      </c>
      <c r="AC41" s="270">
        <f t="shared" si="22"/>
        <v>908521.0749630807</v>
      </c>
      <c r="AD41" s="270">
        <f t="shared" si="22"/>
        <v>1008378.9151002537</v>
      </c>
      <c r="AE41" s="270">
        <f t="shared" si="22"/>
        <v>1916899.9900633343</v>
      </c>
      <c r="AF41" s="270">
        <f t="shared" si="23"/>
        <v>917606.28571271151</v>
      </c>
      <c r="AG41" s="272">
        <f t="shared" si="23"/>
        <v>1018462.7042512562</v>
      </c>
      <c r="AH41" s="270">
        <f t="shared" si="23"/>
        <v>1936068.9899639678</v>
      </c>
    </row>
    <row r="43" spans="1:45" x14ac:dyDescent="0.25">
      <c r="A43" s="263" t="s">
        <v>608</v>
      </c>
      <c r="B43" s="277"/>
      <c r="C43" s="274">
        <v>2012</v>
      </c>
      <c r="D43" s="278"/>
      <c r="E43" s="351">
        <v>2013</v>
      </c>
      <c r="F43" s="352"/>
      <c r="G43" s="353"/>
      <c r="H43" s="351">
        <v>2014</v>
      </c>
      <c r="I43" s="352"/>
      <c r="J43" s="353"/>
      <c r="K43" s="351">
        <v>2015</v>
      </c>
      <c r="L43" s="352"/>
      <c r="M43" s="353"/>
      <c r="N43" s="351">
        <v>2016</v>
      </c>
      <c r="O43" s="352"/>
      <c r="P43" s="353"/>
      <c r="Q43" s="351">
        <v>2017</v>
      </c>
      <c r="R43" s="352"/>
      <c r="S43" s="353"/>
      <c r="T43" s="351">
        <v>2018</v>
      </c>
      <c r="U43" s="352"/>
      <c r="V43" s="353"/>
      <c r="W43" s="351">
        <v>2019</v>
      </c>
      <c r="X43" s="352"/>
      <c r="Y43" s="353"/>
      <c r="Z43" s="354">
        <v>2020</v>
      </c>
      <c r="AA43" s="355"/>
      <c r="AB43" s="356"/>
      <c r="AC43" s="351">
        <v>2021</v>
      </c>
      <c r="AD43" s="352"/>
      <c r="AE43" s="353"/>
      <c r="AF43" s="351">
        <v>2022</v>
      </c>
      <c r="AG43" s="352"/>
      <c r="AH43" s="353"/>
    </row>
    <row r="44" spans="1:45" x14ac:dyDescent="0.25">
      <c r="A44" s="263" t="s">
        <v>607</v>
      </c>
      <c r="B44" s="262" t="s">
        <v>3</v>
      </c>
      <c r="C44" s="262" t="s">
        <v>4</v>
      </c>
      <c r="D44" s="262" t="s">
        <v>2</v>
      </c>
      <c r="E44" s="264" t="s">
        <v>582</v>
      </c>
      <c r="F44" s="264" t="s">
        <v>583</v>
      </c>
      <c r="G44" s="264" t="s">
        <v>2</v>
      </c>
      <c r="H44" s="264" t="s">
        <v>582</v>
      </c>
      <c r="I44" s="264" t="s">
        <v>583</v>
      </c>
      <c r="J44" s="264" t="s">
        <v>2</v>
      </c>
      <c r="K44" s="264" t="s">
        <v>582</v>
      </c>
      <c r="L44" s="264" t="s">
        <v>583</v>
      </c>
      <c r="M44" s="264" t="s">
        <v>2</v>
      </c>
      <c r="N44" s="264" t="s">
        <v>582</v>
      </c>
      <c r="O44" s="264" t="s">
        <v>583</v>
      </c>
      <c r="P44" s="264" t="s">
        <v>2</v>
      </c>
      <c r="Q44" s="264" t="s">
        <v>582</v>
      </c>
      <c r="R44" s="264" t="s">
        <v>583</v>
      </c>
      <c r="S44" s="264" t="s">
        <v>2</v>
      </c>
      <c r="T44" s="264" t="s">
        <v>582</v>
      </c>
      <c r="U44" s="264" t="s">
        <v>583</v>
      </c>
      <c r="V44" s="264" t="s">
        <v>2</v>
      </c>
      <c r="W44" s="264" t="s">
        <v>582</v>
      </c>
      <c r="X44" s="264" t="s">
        <v>583</v>
      </c>
      <c r="Y44" s="264" t="s">
        <v>2</v>
      </c>
      <c r="Z44" s="265" t="s">
        <v>582</v>
      </c>
      <c r="AA44" s="265" t="s">
        <v>583</v>
      </c>
      <c r="AB44" s="265" t="s">
        <v>2</v>
      </c>
      <c r="AC44" s="264" t="s">
        <v>582</v>
      </c>
      <c r="AD44" s="264" t="s">
        <v>583</v>
      </c>
      <c r="AE44" s="264" t="s">
        <v>2</v>
      </c>
      <c r="AF44" s="264" t="s">
        <v>582</v>
      </c>
      <c r="AG44" s="264" t="s">
        <v>583</v>
      </c>
      <c r="AH44" s="264" t="s">
        <v>2</v>
      </c>
      <c r="AI44" t="s">
        <v>3</v>
      </c>
      <c r="AJ44" t="s">
        <v>4</v>
      </c>
      <c r="AK44" t="s">
        <v>584</v>
      </c>
      <c r="AL44" t="s">
        <v>631</v>
      </c>
      <c r="AM44" t="s">
        <v>632</v>
      </c>
      <c r="AN44" t="s">
        <v>633</v>
      </c>
      <c r="AO44" t="s">
        <v>585</v>
      </c>
      <c r="AP44" t="s">
        <v>586</v>
      </c>
      <c r="AQ44" t="s">
        <v>587</v>
      </c>
      <c r="AS44" t="s">
        <v>588</v>
      </c>
    </row>
    <row r="45" spans="1:45" x14ac:dyDescent="0.25">
      <c r="A45" s="11" t="s">
        <v>589</v>
      </c>
      <c r="B45" s="11">
        <v>91220</v>
      </c>
      <c r="C45" s="11">
        <v>91380</v>
      </c>
      <c r="D45" s="11">
        <v>182600</v>
      </c>
      <c r="E45" s="266">
        <f>B45*1.01</f>
        <v>92132.2</v>
      </c>
      <c r="F45" s="266">
        <f>C45*1.01</f>
        <v>92293.8</v>
      </c>
      <c r="G45" s="266">
        <f>D45*1.01</f>
        <v>184426</v>
      </c>
      <c r="H45" s="266">
        <f>B45*1.01^2</f>
        <v>93053.521999999997</v>
      </c>
      <c r="I45" s="266">
        <f>C45*1.01^2</f>
        <v>93216.737999999998</v>
      </c>
      <c r="J45" s="266">
        <f>D45*1.01^2</f>
        <v>186270.26</v>
      </c>
      <c r="K45" s="266">
        <f>B45*1.01^3</f>
        <v>93984.057219999988</v>
      </c>
      <c r="L45" s="266">
        <f>C45*1.01^3</f>
        <v>94148.905379999997</v>
      </c>
      <c r="M45" s="266">
        <f>D45*1.01^3</f>
        <v>188132.96259999997</v>
      </c>
      <c r="N45" s="266">
        <f>B45*1.01^4</f>
        <v>94923.897792200005</v>
      </c>
      <c r="O45" s="266">
        <f>C45*1.01^4</f>
        <v>95090.3944338</v>
      </c>
      <c r="P45" s="266">
        <f>D45*1.01^4</f>
        <v>190014.29222599999</v>
      </c>
      <c r="Q45" s="266">
        <f>B45*1.01^5</f>
        <v>95873.136770121986</v>
      </c>
      <c r="R45" s="266">
        <f>C45*1.01^5</f>
        <v>96041.298378137988</v>
      </c>
      <c r="S45" s="266">
        <f>D45*1.01^5</f>
        <v>191914.43514825997</v>
      </c>
      <c r="T45" s="266">
        <f>B45*1.01^6</f>
        <v>96831.868137823229</v>
      </c>
      <c r="U45" s="266">
        <f>C45*1.01^6</f>
        <v>97001.711361919399</v>
      </c>
      <c r="V45" s="266">
        <f>D45*1.01^6</f>
        <v>193833.57949974263</v>
      </c>
      <c r="W45" s="266">
        <f>B45*1.01^7</f>
        <v>97800.186819201437</v>
      </c>
      <c r="X45" s="266">
        <f>P45*1.01^7</f>
        <v>203721.04010108675</v>
      </c>
      <c r="Y45" s="266">
        <f>C45*1.01^7</f>
        <v>97971.728475538563</v>
      </c>
      <c r="Z45" s="267">
        <f>B45*1.01^8</f>
        <v>98778.188687393485</v>
      </c>
      <c r="AA45" s="267">
        <f>C45*1.01^8</f>
        <v>98951.445760293966</v>
      </c>
      <c r="AB45" s="267">
        <f>D45*1.01^8</f>
        <v>197729.63444768745</v>
      </c>
      <c r="AC45" s="266">
        <f>B45*1.01^9</f>
        <v>99765.970574267427</v>
      </c>
      <c r="AD45" s="266">
        <f>C45*1.01^9</f>
        <v>99940.960217896922</v>
      </c>
      <c r="AE45" s="266">
        <f>D45*1.01^9</f>
        <v>199706.93079216435</v>
      </c>
      <c r="AF45" s="266">
        <f>B45*1.01^10</f>
        <v>100763.6302800101</v>
      </c>
      <c r="AG45" s="268">
        <f>C45*1.01^10</f>
        <v>100940.3698200759</v>
      </c>
      <c r="AH45" s="266">
        <f>D45*1.01^10</f>
        <v>201704.00010008598</v>
      </c>
      <c r="AI45" s="6">
        <f>Z62/AB62</f>
        <v>0.49208690521639536</v>
      </c>
      <c r="AJ45" s="6">
        <f>AA62/AB62</f>
        <v>0.50791309478360469</v>
      </c>
      <c r="AK45" s="6">
        <f>AB45/AB62</f>
        <v>0.15843542845243466</v>
      </c>
      <c r="AL45" s="6">
        <f>SUM(AB45:AB47)/AB62</f>
        <v>0.42789105612050121</v>
      </c>
      <c r="AM45" s="6">
        <f>SUM(Z45:Z47)/Z62</f>
        <v>0.43689212540113553</v>
      </c>
      <c r="AN45" s="6">
        <f>SUM(AA45:AA47)/AA62</f>
        <v>0.41917045338070991</v>
      </c>
      <c r="AO45" s="6">
        <f>SUM(AB45:AB48)/AB62</f>
        <v>0.53151008225453789</v>
      </c>
      <c r="AP45" s="6">
        <f>SUM(AA48:AA54)/AA62</f>
        <v>0.46146093136082544</v>
      </c>
      <c r="AQ45" s="6">
        <f>SUM(Z48:Z54)/Z62</f>
        <v>0.47104418662058756</v>
      </c>
      <c r="AR45" s="6"/>
      <c r="AS45" s="6">
        <f>SUM(AB58:AB60)/AB62</f>
        <v>4.055200777426856E-2</v>
      </c>
    </row>
    <row r="46" spans="1:45" x14ac:dyDescent="0.25">
      <c r="A46" s="269" t="s">
        <v>590</v>
      </c>
      <c r="B46" s="11">
        <v>78483</v>
      </c>
      <c r="C46" s="11">
        <v>78114</v>
      </c>
      <c r="D46" s="11">
        <v>156597</v>
      </c>
      <c r="E46" s="266">
        <f t="shared" ref="E46:G62" si="24">B46*1.01</f>
        <v>79267.83</v>
      </c>
      <c r="F46" s="266">
        <f t="shared" si="24"/>
        <v>78895.14</v>
      </c>
      <c r="G46" s="266">
        <f t="shared" si="24"/>
        <v>158162.97</v>
      </c>
      <c r="H46" s="266">
        <f t="shared" ref="H46:J62" si="25">B46*1.01^2</f>
        <v>80060.508300000001</v>
      </c>
      <c r="I46" s="266">
        <f t="shared" si="25"/>
        <v>79684.091400000005</v>
      </c>
      <c r="J46" s="266">
        <f t="shared" si="25"/>
        <v>159744.59969999999</v>
      </c>
      <c r="K46" s="266">
        <f t="shared" ref="K46:M62" si="26">B46*1.01^3</f>
        <v>80861.113382999989</v>
      </c>
      <c r="L46" s="266">
        <f t="shared" si="26"/>
        <v>80480.932313999991</v>
      </c>
      <c r="M46" s="266">
        <f t="shared" si="26"/>
        <v>161342.04569699999</v>
      </c>
      <c r="N46" s="266">
        <f t="shared" ref="N46:P62" si="27">B46*1.01^4</f>
        <v>81669.72451683</v>
      </c>
      <c r="O46" s="266">
        <f t="shared" si="27"/>
        <v>81285.741637140003</v>
      </c>
      <c r="P46" s="266">
        <f t="shared" si="27"/>
        <v>162955.46615397002</v>
      </c>
      <c r="Q46" s="266">
        <f t="shared" ref="Q46:S62" si="28">B46*1.01^5</f>
        <v>82486.421761998296</v>
      </c>
      <c r="R46" s="266">
        <f t="shared" si="28"/>
        <v>82098.599053511396</v>
      </c>
      <c r="S46" s="266">
        <f t="shared" si="28"/>
        <v>164585.02081550969</v>
      </c>
      <c r="T46" s="266">
        <f t="shared" ref="T46:V62" si="29">B46*1.01^6</f>
        <v>83311.285979618289</v>
      </c>
      <c r="U46" s="266">
        <f t="shared" si="29"/>
        <v>82919.585044046529</v>
      </c>
      <c r="V46" s="266">
        <f t="shared" si="29"/>
        <v>166230.8710236648</v>
      </c>
      <c r="W46" s="266">
        <f t="shared" ref="W46:W62" si="30">B46*1.01^7</f>
        <v>84144.398839414454</v>
      </c>
      <c r="X46" s="266">
        <f t="shared" ref="X46:X62" si="31">P46*1.01^7</f>
        <v>174710.31608274856</v>
      </c>
      <c r="Y46" s="266">
        <f t="shared" ref="Y46:Y62" si="32">C46*1.01^7</f>
        <v>83748.780894486961</v>
      </c>
      <c r="Z46" s="267">
        <f t="shared" ref="Z46:AB62" si="33">B46*1.01^8</f>
        <v>84985.842827808621</v>
      </c>
      <c r="AA46" s="267">
        <f t="shared" si="33"/>
        <v>84586.268703431866</v>
      </c>
      <c r="AB46" s="267">
        <f t="shared" si="33"/>
        <v>169572.11153124049</v>
      </c>
      <c r="AC46" s="266">
        <f t="shared" ref="AC46:AE62" si="34">B46*1.01^9</f>
        <v>85835.701256086715</v>
      </c>
      <c r="AD46" s="266">
        <f t="shared" si="34"/>
        <v>85432.13139046618</v>
      </c>
      <c r="AE46" s="266">
        <f t="shared" si="34"/>
        <v>171267.83264655291</v>
      </c>
      <c r="AF46" s="266">
        <f t="shared" ref="AF46:AH62" si="35">B46*1.01^10</f>
        <v>86694.058268647583</v>
      </c>
      <c r="AG46" s="268">
        <f t="shared" si="35"/>
        <v>86286.452704370851</v>
      </c>
      <c r="AH46" s="266">
        <f t="shared" si="35"/>
        <v>172980.51097301842</v>
      </c>
    </row>
    <row r="47" spans="1:45" x14ac:dyDescent="0.25">
      <c r="A47" s="269" t="s">
        <v>591</v>
      </c>
      <c r="B47" s="11">
        <v>78076</v>
      </c>
      <c r="C47" s="11">
        <v>75880</v>
      </c>
      <c r="D47" s="11">
        <v>153956</v>
      </c>
      <c r="E47" s="266">
        <f t="shared" si="24"/>
        <v>78856.759999999995</v>
      </c>
      <c r="F47" s="266">
        <f t="shared" si="24"/>
        <v>76638.8</v>
      </c>
      <c r="G47" s="266">
        <f t="shared" si="24"/>
        <v>155495.56</v>
      </c>
      <c r="H47" s="266">
        <f t="shared" si="25"/>
        <v>79645.327600000004</v>
      </c>
      <c r="I47" s="266">
        <f t="shared" si="25"/>
        <v>77405.187999999995</v>
      </c>
      <c r="J47" s="266">
        <f t="shared" si="25"/>
        <v>157050.51560000001</v>
      </c>
      <c r="K47" s="266">
        <f t="shared" si="26"/>
        <v>80441.78087599999</v>
      </c>
      <c r="L47" s="266">
        <f t="shared" si="26"/>
        <v>78179.239879999994</v>
      </c>
      <c r="M47" s="266">
        <f t="shared" si="26"/>
        <v>158621.02075599998</v>
      </c>
      <c r="N47" s="266">
        <f t="shared" si="27"/>
        <v>81246.198684760006</v>
      </c>
      <c r="O47" s="266">
        <f t="shared" si="27"/>
        <v>78961.032278800005</v>
      </c>
      <c r="P47" s="266">
        <f t="shared" si="27"/>
        <v>160207.23096356</v>
      </c>
      <c r="Q47" s="266">
        <f t="shared" si="28"/>
        <v>82058.660671607591</v>
      </c>
      <c r="R47" s="266">
        <f t="shared" si="28"/>
        <v>79750.642601587999</v>
      </c>
      <c r="S47" s="266">
        <f t="shared" si="28"/>
        <v>161809.30327319558</v>
      </c>
      <c r="T47" s="266">
        <f t="shared" si="29"/>
        <v>82879.247278323688</v>
      </c>
      <c r="U47" s="266">
        <f t="shared" si="29"/>
        <v>80548.149027603897</v>
      </c>
      <c r="V47" s="266">
        <f t="shared" si="29"/>
        <v>163427.39630592757</v>
      </c>
      <c r="W47" s="266">
        <f t="shared" si="30"/>
        <v>83708.039751106902</v>
      </c>
      <c r="X47" s="266">
        <f t="shared" si="31"/>
        <v>171763.83597920544</v>
      </c>
      <c r="Y47" s="266">
        <f t="shared" si="32"/>
        <v>81353.630517879908</v>
      </c>
      <c r="Z47" s="267">
        <f t="shared" si="33"/>
        <v>84545.120148617993</v>
      </c>
      <c r="AA47" s="267">
        <f t="shared" si="33"/>
        <v>82167.166823058724</v>
      </c>
      <c r="AB47" s="267">
        <f t="shared" si="33"/>
        <v>166712.28697167672</v>
      </c>
      <c r="AC47" s="266">
        <f t="shared" si="34"/>
        <v>85390.571350104176</v>
      </c>
      <c r="AD47" s="266">
        <f t="shared" si="34"/>
        <v>82988.838491289323</v>
      </c>
      <c r="AE47" s="266">
        <f t="shared" si="34"/>
        <v>168379.4098413935</v>
      </c>
      <c r="AF47" s="266">
        <f t="shared" si="35"/>
        <v>86244.477063605227</v>
      </c>
      <c r="AG47" s="268">
        <f t="shared" si="35"/>
        <v>83818.726876202214</v>
      </c>
      <c r="AH47" s="266">
        <f t="shared" si="35"/>
        <v>170063.20393980743</v>
      </c>
    </row>
    <row r="48" spans="1:45" x14ac:dyDescent="0.25">
      <c r="A48" s="11" t="s">
        <v>592</v>
      </c>
      <c r="B48" s="11">
        <v>62544</v>
      </c>
      <c r="C48" s="11">
        <v>56879</v>
      </c>
      <c r="D48" s="11">
        <v>119423</v>
      </c>
      <c r="E48" s="266">
        <f t="shared" si="24"/>
        <v>63169.440000000002</v>
      </c>
      <c r="F48" s="266">
        <f t="shared" si="24"/>
        <v>57447.79</v>
      </c>
      <c r="G48" s="266">
        <f t="shared" si="24"/>
        <v>120617.23</v>
      </c>
      <c r="H48" s="266">
        <f t="shared" si="25"/>
        <v>63801.134400000003</v>
      </c>
      <c r="I48" s="266">
        <f t="shared" si="25"/>
        <v>58022.267899999999</v>
      </c>
      <c r="J48" s="266">
        <f t="shared" si="25"/>
        <v>121823.4023</v>
      </c>
      <c r="K48" s="266">
        <f t="shared" si="26"/>
        <v>64439.145743999994</v>
      </c>
      <c r="L48" s="266">
        <f t="shared" si="26"/>
        <v>58602.490578999998</v>
      </c>
      <c r="M48" s="266">
        <f t="shared" si="26"/>
        <v>123041.63632299998</v>
      </c>
      <c r="N48" s="266">
        <f t="shared" si="27"/>
        <v>65083.537201439998</v>
      </c>
      <c r="O48" s="266">
        <f t="shared" si="27"/>
        <v>59188.515484790005</v>
      </c>
      <c r="P48" s="266">
        <f t="shared" si="27"/>
        <v>124272.05268623</v>
      </c>
      <c r="Q48" s="266">
        <f t="shared" si="28"/>
        <v>65734.372573454399</v>
      </c>
      <c r="R48" s="266">
        <f t="shared" si="28"/>
        <v>59780.400639637897</v>
      </c>
      <c r="S48" s="266">
        <f t="shared" si="28"/>
        <v>125514.7732130923</v>
      </c>
      <c r="T48" s="266">
        <f t="shared" si="29"/>
        <v>66391.716299188949</v>
      </c>
      <c r="U48" s="266">
        <f t="shared" si="29"/>
        <v>60378.20464603429</v>
      </c>
      <c r="V48" s="266">
        <f t="shared" si="29"/>
        <v>126769.92094522325</v>
      </c>
      <c r="W48" s="266">
        <f t="shared" si="30"/>
        <v>67055.63346218082</v>
      </c>
      <c r="X48" s="266">
        <f t="shared" si="31"/>
        <v>133236.46096381207</v>
      </c>
      <c r="Y48" s="266">
        <f t="shared" si="32"/>
        <v>60981.986692494611</v>
      </c>
      <c r="Z48" s="267">
        <f t="shared" si="33"/>
        <v>67726.189796802646</v>
      </c>
      <c r="AA48" s="267">
        <f t="shared" si="33"/>
        <v>61591.806559419572</v>
      </c>
      <c r="AB48" s="267">
        <f t="shared" si="33"/>
        <v>129317.99635622223</v>
      </c>
      <c r="AC48" s="266">
        <f t="shared" si="34"/>
        <v>68403.451694770687</v>
      </c>
      <c r="AD48" s="266">
        <f t="shared" si="34"/>
        <v>62207.724625013776</v>
      </c>
      <c r="AE48" s="266">
        <f t="shared" si="34"/>
        <v>130611.17631978446</v>
      </c>
      <c r="AF48" s="266">
        <f t="shared" si="35"/>
        <v>69087.486211718395</v>
      </c>
      <c r="AG48" s="268">
        <f t="shared" si="35"/>
        <v>62829.801871263917</v>
      </c>
      <c r="AH48" s="266">
        <f t="shared" si="35"/>
        <v>131917.2880829823</v>
      </c>
    </row>
    <row r="49" spans="1:34" x14ac:dyDescent="0.25">
      <c r="A49" s="11" t="s">
        <v>593</v>
      </c>
      <c r="B49" s="11">
        <v>48950</v>
      </c>
      <c r="C49" s="11">
        <v>53125</v>
      </c>
      <c r="D49" s="11">
        <v>102075</v>
      </c>
      <c r="E49" s="266">
        <f t="shared" si="24"/>
        <v>49439.5</v>
      </c>
      <c r="F49" s="266">
        <f t="shared" si="24"/>
        <v>53656.25</v>
      </c>
      <c r="G49" s="266">
        <f t="shared" si="24"/>
        <v>103095.75</v>
      </c>
      <c r="H49" s="266">
        <f t="shared" si="25"/>
        <v>49933.894999999997</v>
      </c>
      <c r="I49" s="266">
        <f t="shared" si="25"/>
        <v>54192.8125</v>
      </c>
      <c r="J49" s="266">
        <f t="shared" si="25"/>
        <v>104126.7075</v>
      </c>
      <c r="K49" s="266">
        <f t="shared" si="26"/>
        <v>50433.233949999994</v>
      </c>
      <c r="L49" s="266">
        <f t="shared" si="26"/>
        <v>54734.740624999999</v>
      </c>
      <c r="M49" s="266">
        <f t="shared" si="26"/>
        <v>105167.97457499999</v>
      </c>
      <c r="N49" s="266">
        <f t="shared" si="27"/>
        <v>50937.566289499999</v>
      </c>
      <c r="O49" s="266">
        <f t="shared" si="27"/>
        <v>55282.088031250001</v>
      </c>
      <c r="P49" s="266">
        <f t="shared" si="27"/>
        <v>106219.65432075001</v>
      </c>
      <c r="Q49" s="266">
        <f t="shared" si="28"/>
        <v>51446.941952394998</v>
      </c>
      <c r="R49" s="266">
        <f t="shared" si="28"/>
        <v>55834.908911562496</v>
      </c>
      <c r="S49" s="266">
        <f t="shared" si="28"/>
        <v>107281.85086395749</v>
      </c>
      <c r="T49" s="266">
        <f t="shared" si="29"/>
        <v>51961.411371918955</v>
      </c>
      <c r="U49" s="266">
        <f t="shared" si="29"/>
        <v>56393.258000678135</v>
      </c>
      <c r="V49" s="266">
        <f t="shared" si="29"/>
        <v>108354.66937259708</v>
      </c>
      <c r="W49" s="266">
        <f t="shared" si="30"/>
        <v>52481.025485638129</v>
      </c>
      <c r="X49" s="266">
        <f t="shared" si="31"/>
        <v>113881.84648586217</v>
      </c>
      <c r="Y49" s="266">
        <f t="shared" si="32"/>
        <v>56957.190580684895</v>
      </c>
      <c r="Z49" s="267">
        <f t="shared" si="33"/>
        <v>53005.835740494527</v>
      </c>
      <c r="AA49" s="267">
        <f t="shared" si="33"/>
        <v>57526.76248649176</v>
      </c>
      <c r="AB49" s="267">
        <f t="shared" si="33"/>
        <v>110532.59822698629</v>
      </c>
      <c r="AC49" s="266">
        <f t="shared" si="34"/>
        <v>53535.89409789948</v>
      </c>
      <c r="AD49" s="266">
        <f t="shared" si="34"/>
        <v>58102.030111356682</v>
      </c>
      <c r="AE49" s="266">
        <f t="shared" si="34"/>
        <v>111637.92420925616</v>
      </c>
      <c r="AF49" s="266">
        <f t="shared" si="35"/>
        <v>54071.253038878473</v>
      </c>
      <c r="AG49" s="268">
        <f t="shared" si="35"/>
        <v>58683.050412470249</v>
      </c>
      <c r="AH49" s="266">
        <f t="shared" si="35"/>
        <v>112754.30345134872</v>
      </c>
    </row>
    <row r="50" spans="1:34" x14ac:dyDescent="0.25">
      <c r="A50" s="11" t="s">
        <v>594</v>
      </c>
      <c r="B50" s="11">
        <v>47323</v>
      </c>
      <c r="C50" s="11">
        <v>51315</v>
      </c>
      <c r="D50" s="11">
        <v>98638</v>
      </c>
      <c r="E50" s="266">
        <f t="shared" si="24"/>
        <v>47796.23</v>
      </c>
      <c r="F50" s="266">
        <f t="shared" si="24"/>
        <v>51828.15</v>
      </c>
      <c r="G50" s="266">
        <f t="shared" si="24"/>
        <v>99624.38</v>
      </c>
      <c r="H50" s="266">
        <f t="shared" si="25"/>
        <v>48274.192300000002</v>
      </c>
      <c r="I50" s="266">
        <f t="shared" si="25"/>
        <v>52346.431499999999</v>
      </c>
      <c r="J50" s="266">
        <f t="shared" si="25"/>
        <v>100620.6238</v>
      </c>
      <c r="K50" s="266">
        <f t="shared" si="26"/>
        <v>48756.934222999997</v>
      </c>
      <c r="L50" s="266">
        <f t="shared" si="26"/>
        <v>52869.895814999996</v>
      </c>
      <c r="M50" s="266">
        <f t="shared" si="26"/>
        <v>101626.83003799999</v>
      </c>
      <c r="N50" s="266">
        <f t="shared" si="27"/>
        <v>49244.503565229999</v>
      </c>
      <c r="O50" s="266">
        <f t="shared" si="27"/>
        <v>53398.594773149998</v>
      </c>
      <c r="P50" s="266">
        <f t="shared" si="27"/>
        <v>102643.09833838</v>
      </c>
      <c r="Q50" s="266">
        <f t="shared" si="28"/>
        <v>49736.948600882293</v>
      </c>
      <c r="R50" s="266">
        <f t="shared" si="28"/>
        <v>53932.580720881495</v>
      </c>
      <c r="S50" s="266">
        <f t="shared" si="28"/>
        <v>103669.5293217638</v>
      </c>
      <c r="T50" s="266">
        <f t="shared" si="29"/>
        <v>50234.318086891129</v>
      </c>
      <c r="U50" s="266">
        <f t="shared" si="29"/>
        <v>54471.906528090323</v>
      </c>
      <c r="V50" s="266">
        <f t="shared" si="29"/>
        <v>104706.22461498145</v>
      </c>
      <c r="W50" s="266">
        <f t="shared" si="30"/>
        <v>50736.661267760028</v>
      </c>
      <c r="X50" s="266">
        <f t="shared" si="31"/>
        <v>110047.29437837348</v>
      </c>
      <c r="Y50" s="266">
        <f t="shared" si="32"/>
        <v>55016.625593371209</v>
      </c>
      <c r="Z50" s="267">
        <f t="shared" si="33"/>
        <v>51244.027880437643</v>
      </c>
      <c r="AA50" s="267">
        <f t="shared" si="33"/>
        <v>55566.791849304936</v>
      </c>
      <c r="AB50" s="267">
        <f t="shared" si="33"/>
        <v>106810.81972974258</v>
      </c>
      <c r="AC50" s="266">
        <f t="shared" si="34"/>
        <v>51756.468159242024</v>
      </c>
      <c r="AD50" s="266">
        <f t="shared" si="34"/>
        <v>56122.459767797991</v>
      </c>
      <c r="AE50" s="266">
        <f t="shared" si="34"/>
        <v>107878.92792704001</v>
      </c>
      <c r="AF50" s="266">
        <f t="shared" si="35"/>
        <v>52274.032840834443</v>
      </c>
      <c r="AG50" s="268">
        <f t="shared" si="35"/>
        <v>56683.684365475972</v>
      </c>
      <c r="AH50" s="266">
        <f t="shared" si="35"/>
        <v>108957.71720631041</v>
      </c>
    </row>
    <row r="51" spans="1:34" x14ac:dyDescent="0.25">
      <c r="A51" s="11" t="s">
        <v>595</v>
      </c>
      <c r="B51" s="11">
        <v>39128</v>
      </c>
      <c r="C51" s="11">
        <v>39517</v>
      </c>
      <c r="D51" s="11">
        <v>78645</v>
      </c>
      <c r="E51" s="266">
        <f t="shared" si="24"/>
        <v>39519.279999999999</v>
      </c>
      <c r="F51" s="266">
        <f t="shared" si="24"/>
        <v>39912.17</v>
      </c>
      <c r="G51" s="266">
        <f t="shared" si="24"/>
        <v>79431.45</v>
      </c>
      <c r="H51" s="266">
        <f t="shared" si="25"/>
        <v>39914.472800000003</v>
      </c>
      <c r="I51" s="266">
        <f t="shared" si="25"/>
        <v>40311.291700000002</v>
      </c>
      <c r="J51" s="266">
        <f t="shared" si="25"/>
        <v>80225.764500000005</v>
      </c>
      <c r="K51" s="266">
        <f t="shared" si="26"/>
        <v>40313.617527999995</v>
      </c>
      <c r="L51" s="266">
        <f t="shared" si="26"/>
        <v>40714.404616999993</v>
      </c>
      <c r="M51" s="266">
        <f t="shared" si="26"/>
        <v>81028.022144999995</v>
      </c>
      <c r="N51" s="266">
        <f t="shared" si="27"/>
        <v>40716.753703280003</v>
      </c>
      <c r="O51" s="266">
        <f t="shared" si="27"/>
        <v>41121.548663170004</v>
      </c>
      <c r="P51" s="266">
        <f t="shared" si="27"/>
        <v>81838.302366450007</v>
      </c>
      <c r="Q51" s="266">
        <f t="shared" si="28"/>
        <v>41123.921240312797</v>
      </c>
      <c r="R51" s="266">
        <f t="shared" si="28"/>
        <v>41532.764149801696</v>
      </c>
      <c r="S51" s="266">
        <f t="shared" si="28"/>
        <v>82656.685390114493</v>
      </c>
      <c r="T51" s="266">
        <f t="shared" si="29"/>
        <v>41535.160452715936</v>
      </c>
      <c r="U51" s="266">
        <f t="shared" si="29"/>
        <v>41948.091791299725</v>
      </c>
      <c r="V51" s="266">
        <f t="shared" si="29"/>
        <v>83483.252244015661</v>
      </c>
      <c r="W51" s="266">
        <f t="shared" si="30"/>
        <v>41950.512057243082</v>
      </c>
      <c r="X51" s="266">
        <f t="shared" si="31"/>
        <v>87741.737123493818</v>
      </c>
      <c r="Y51" s="266">
        <f t="shared" si="32"/>
        <v>42367.572709212705</v>
      </c>
      <c r="Z51" s="267">
        <f t="shared" si="33"/>
        <v>42370.01717781552</v>
      </c>
      <c r="AA51" s="267">
        <f t="shared" si="33"/>
        <v>42791.24843630485</v>
      </c>
      <c r="AB51" s="267">
        <f t="shared" si="33"/>
        <v>85161.265614120362</v>
      </c>
      <c r="AC51" s="266">
        <f t="shared" si="34"/>
        <v>42793.71734959368</v>
      </c>
      <c r="AD51" s="266">
        <f t="shared" si="34"/>
        <v>43219.160920667899</v>
      </c>
      <c r="AE51" s="266">
        <f t="shared" si="34"/>
        <v>86012.878270261586</v>
      </c>
      <c r="AF51" s="266">
        <f t="shared" si="35"/>
        <v>43221.654523089623</v>
      </c>
      <c r="AG51" s="268">
        <f t="shared" si="35"/>
        <v>43651.352529874581</v>
      </c>
      <c r="AH51" s="266">
        <f t="shared" si="35"/>
        <v>86873.007052964196</v>
      </c>
    </row>
    <row r="52" spans="1:34" x14ac:dyDescent="0.25">
      <c r="A52" s="11" t="s">
        <v>596</v>
      </c>
      <c r="B52" s="11">
        <v>32838</v>
      </c>
      <c r="C52" s="11">
        <v>33251</v>
      </c>
      <c r="D52" s="11">
        <v>66089</v>
      </c>
      <c r="E52" s="266">
        <f t="shared" si="24"/>
        <v>33166.379999999997</v>
      </c>
      <c r="F52" s="266">
        <f t="shared" si="24"/>
        <v>33583.51</v>
      </c>
      <c r="G52" s="266">
        <f t="shared" si="24"/>
        <v>66749.89</v>
      </c>
      <c r="H52" s="266">
        <f t="shared" si="25"/>
        <v>33498.043799999999</v>
      </c>
      <c r="I52" s="266">
        <f t="shared" si="25"/>
        <v>33919.345099999999</v>
      </c>
      <c r="J52" s="266">
        <f t="shared" si="25"/>
        <v>67417.388900000005</v>
      </c>
      <c r="K52" s="266">
        <f t="shared" si="26"/>
        <v>33833.024237999998</v>
      </c>
      <c r="L52" s="266">
        <f t="shared" si="26"/>
        <v>34258.538550999998</v>
      </c>
      <c r="M52" s="266">
        <f t="shared" si="26"/>
        <v>68091.562788999989</v>
      </c>
      <c r="N52" s="266">
        <f t="shared" si="27"/>
        <v>34171.354480380003</v>
      </c>
      <c r="O52" s="266">
        <f t="shared" si="27"/>
        <v>34601.123936509997</v>
      </c>
      <c r="P52" s="266">
        <f t="shared" si="27"/>
        <v>68772.478416890008</v>
      </c>
      <c r="Q52" s="266">
        <f t="shared" si="28"/>
        <v>34513.068025183798</v>
      </c>
      <c r="R52" s="266">
        <f t="shared" si="28"/>
        <v>34947.135175875097</v>
      </c>
      <c r="S52" s="266">
        <f t="shared" si="28"/>
        <v>69460.203201058888</v>
      </c>
      <c r="T52" s="266">
        <f t="shared" si="29"/>
        <v>34858.198705435643</v>
      </c>
      <c r="U52" s="266">
        <f t="shared" si="29"/>
        <v>35296.606527633856</v>
      </c>
      <c r="V52" s="266">
        <f t="shared" si="29"/>
        <v>70154.805233069492</v>
      </c>
      <c r="W52" s="266">
        <f t="shared" si="30"/>
        <v>35206.780692489992</v>
      </c>
      <c r="X52" s="266">
        <f t="shared" si="31"/>
        <v>73733.405362764097</v>
      </c>
      <c r="Y52" s="266">
        <f t="shared" si="32"/>
        <v>35649.572592910183</v>
      </c>
      <c r="Z52" s="267">
        <f t="shared" si="33"/>
        <v>35558.848499414897</v>
      </c>
      <c r="AA52" s="267">
        <f t="shared" si="33"/>
        <v>36006.068318839294</v>
      </c>
      <c r="AB52" s="267">
        <f t="shared" si="33"/>
        <v>71564.916818254191</v>
      </c>
      <c r="AC52" s="266">
        <f t="shared" si="34"/>
        <v>35914.436984409047</v>
      </c>
      <c r="AD52" s="266">
        <f t="shared" si="34"/>
        <v>36366.129002027694</v>
      </c>
      <c r="AE52" s="266">
        <f t="shared" si="34"/>
        <v>72280.565986436748</v>
      </c>
      <c r="AF52" s="266">
        <f t="shared" si="35"/>
        <v>36273.58135425314</v>
      </c>
      <c r="AG52" s="268">
        <f t="shared" si="35"/>
        <v>36729.790292047968</v>
      </c>
      <c r="AH52" s="266">
        <f t="shared" si="35"/>
        <v>73003.371646301108</v>
      </c>
    </row>
    <row r="53" spans="1:34" x14ac:dyDescent="0.25">
      <c r="A53" s="11" t="s">
        <v>597</v>
      </c>
      <c r="B53" s="11">
        <v>23155</v>
      </c>
      <c r="C53" s="11">
        <v>21249</v>
      </c>
      <c r="D53" s="11">
        <v>44404</v>
      </c>
      <c r="E53" s="266">
        <f t="shared" si="24"/>
        <v>23386.55</v>
      </c>
      <c r="F53" s="266">
        <f t="shared" si="24"/>
        <v>21461.49</v>
      </c>
      <c r="G53" s="266">
        <f t="shared" si="24"/>
        <v>44848.04</v>
      </c>
      <c r="H53" s="266">
        <f t="shared" si="25"/>
        <v>23620.415499999999</v>
      </c>
      <c r="I53" s="266">
        <f t="shared" si="25"/>
        <v>21676.104899999998</v>
      </c>
      <c r="J53" s="266">
        <f t="shared" si="25"/>
        <v>45296.520400000001</v>
      </c>
      <c r="K53" s="266">
        <f t="shared" si="26"/>
        <v>23856.619654999999</v>
      </c>
      <c r="L53" s="266">
        <f t="shared" si="26"/>
        <v>21892.865948999999</v>
      </c>
      <c r="M53" s="266">
        <f t="shared" si="26"/>
        <v>45749.485603999994</v>
      </c>
      <c r="N53" s="266">
        <f t="shared" si="27"/>
        <v>24095.185851549999</v>
      </c>
      <c r="O53" s="266">
        <f t="shared" si="27"/>
        <v>22111.79460849</v>
      </c>
      <c r="P53" s="266">
        <f t="shared" si="27"/>
        <v>46206.980460040002</v>
      </c>
      <c r="Q53" s="266">
        <f t="shared" si="28"/>
        <v>24336.137710065497</v>
      </c>
      <c r="R53" s="266">
        <f t="shared" si="28"/>
        <v>22332.912554574898</v>
      </c>
      <c r="S53" s="266">
        <f t="shared" si="28"/>
        <v>46669.050264640398</v>
      </c>
      <c r="T53" s="266">
        <f t="shared" si="29"/>
        <v>24579.499087166158</v>
      </c>
      <c r="U53" s="266">
        <f t="shared" si="29"/>
        <v>22556.241680120653</v>
      </c>
      <c r="V53" s="266">
        <f t="shared" si="29"/>
        <v>47135.740767286807</v>
      </c>
      <c r="W53" s="266">
        <f t="shared" si="30"/>
        <v>24825.294078037812</v>
      </c>
      <c r="X53" s="266">
        <f t="shared" si="31"/>
        <v>49540.13726532671</v>
      </c>
      <c r="Y53" s="266">
        <f t="shared" si="32"/>
        <v>22781.804096921853</v>
      </c>
      <c r="Z53" s="267">
        <f t="shared" si="33"/>
        <v>25073.547018818197</v>
      </c>
      <c r="AA53" s="267">
        <f t="shared" si="33"/>
        <v>23009.622137891078</v>
      </c>
      <c r="AB53" s="267">
        <f t="shared" si="33"/>
        <v>48083.169156709271</v>
      </c>
      <c r="AC53" s="266">
        <f t="shared" si="34"/>
        <v>25324.282489006382</v>
      </c>
      <c r="AD53" s="266">
        <f t="shared" si="34"/>
        <v>23239.718359269988</v>
      </c>
      <c r="AE53" s="266">
        <f t="shared" si="34"/>
        <v>48564.000848276373</v>
      </c>
      <c r="AF53" s="266">
        <f t="shared" si="35"/>
        <v>25577.525313896447</v>
      </c>
      <c r="AG53" s="268">
        <f t="shared" si="35"/>
        <v>23472.115542862688</v>
      </c>
      <c r="AH53" s="266">
        <f t="shared" si="35"/>
        <v>49049.640856759135</v>
      </c>
    </row>
    <row r="54" spans="1:34" x14ac:dyDescent="0.25">
      <c r="A54" s="11" t="s">
        <v>598</v>
      </c>
      <c r="B54" s="11">
        <v>13210</v>
      </c>
      <c r="C54" s="11">
        <v>14794</v>
      </c>
      <c r="D54" s="11">
        <v>28004</v>
      </c>
      <c r="E54" s="266">
        <f t="shared" si="24"/>
        <v>13342.1</v>
      </c>
      <c r="F54" s="266">
        <f t="shared" si="24"/>
        <v>14941.94</v>
      </c>
      <c r="G54" s="266">
        <f t="shared" si="24"/>
        <v>28284.04</v>
      </c>
      <c r="H54" s="266">
        <f t="shared" si="25"/>
        <v>13475.521000000001</v>
      </c>
      <c r="I54" s="266">
        <f t="shared" si="25"/>
        <v>15091.359399999999</v>
      </c>
      <c r="J54" s="266">
        <f t="shared" si="25"/>
        <v>28566.880400000002</v>
      </c>
      <c r="K54" s="266">
        <f t="shared" si="26"/>
        <v>13610.276209999998</v>
      </c>
      <c r="L54" s="266">
        <f t="shared" si="26"/>
        <v>15242.272993999999</v>
      </c>
      <c r="M54" s="266">
        <f t="shared" si="26"/>
        <v>28852.549203999999</v>
      </c>
      <c r="N54" s="266">
        <f t="shared" si="27"/>
        <v>13746.378972100001</v>
      </c>
      <c r="O54" s="266">
        <f t="shared" si="27"/>
        <v>15394.69572394</v>
      </c>
      <c r="P54" s="266">
        <f t="shared" si="27"/>
        <v>29141.074696039999</v>
      </c>
      <c r="Q54" s="266">
        <f t="shared" si="28"/>
        <v>13883.842761820999</v>
      </c>
      <c r="R54" s="266">
        <f t="shared" si="28"/>
        <v>15548.642681179399</v>
      </c>
      <c r="S54" s="266">
        <f t="shared" si="28"/>
        <v>29432.485443000398</v>
      </c>
      <c r="T54" s="266">
        <f t="shared" si="29"/>
        <v>14022.681189439212</v>
      </c>
      <c r="U54" s="266">
        <f t="shared" si="29"/>
        <v>15704.129107991195</v>
      </c>
      <c r="V54" s="266">
        <f t="shared" si="29"/>
        <v>29726.810297430409</v>
      </c>
      <c r="W54" s="266">
        <f t="shared" si="30"/>
        <v>14162.908001333601</v>
      </c>
      <c r="X54" s="266">
        <f t="shared" si="31"/>
        <v>31243.17638001552</v>
      </c>
      <c r="Y54" s="266">
        <f t="shared" si="32"/>
        <v>15861.170399071103</v>
      </c>
      <c r="Z54" s="267">
        <f t="shared" si="33"/>
        <v>14304.53708134694</v>
      </c>
      <c r="AA54" s="267">
        <f t="shared" si="33"/>
        <v>16019.78210306182</v>
      </c>
      <c r="AB54" s="267">
        <f t="shared" si="33"/>
        <v>30324.31918440876</v>
      </c>
      <c r="AC54" s="266">
        <f t="shared" si="34"/>
        <v>14447.58245216041</v>
      </c>
      <c r="AD54" s="266">
        <f t="shared" si="34"/>
        <v>16179.979924092439</v>
      </c>
      <c r="AE54" s="266">
        <f t="shared" si="34"/>
        <v>30627.562376252848</v>
      </c>
      <c r="AF54" s="266">
        <f t="shared" si="35"/>
        <v>14592.058276682015</v>
      </c>
      <c r="AG54" s="268">
        <f t="shared" si="35"/>
        <v>16341.779723333362</v>
      </c>
      <c r="AH54" s="266">
        <f t="shared" si="35"/>
        <v>30933.838000015377</v>
      </c>
    </row>
    <row r="55" spans="1:34" x14ac:dyDescent="0.25">
      <c r="A55" s="11" t="s">
        <v>599</v>
      </c>
      <c r="B55" s="11">
        <v>11300</v>
      </c>
      <c r="C55" s="11">
        <v>18371</v>
      </c>
      <c r="D55" s="11">
        <v>29671</v>
      </c>
      <c r="E55" s="266">
        <f t="shared" si="24"/>
        <v>11413</v>
      </c>
      <c r="F55" s="266">
        <f t="shared" si="24"/>
        <v>18554.71</v>
      </c>
      <c r="G55" s="266">
        <f t="shared" si="24"/>
        <v>29967.71</v>
      </c>
      <c r="H55" s="266">
        <f t="shared" si="25"/>
        <v>11527.13</v>
      </c>
      <c r="I55" s="266">
        <f t="shared" si="25"/>
        <v>18740.257099999999</v>
      </c>
      <c r="J55" s="266">
        <f t="shared" si="25"/>
        <v>30267.3871</v>
      </c>
      <c r="K55" s="266">
        <f t="shared" si="26"/>
        <v>11642.4013</v>
      </c>
      <c r="L55" s="266">
        <f t="shared" si="26"/>
        <v>18927.659670999998</v>
      </c>
      <c r="M55" s="266">
        <f t="shared" si="26"/>
        <v>30570.060970999999</v>
      </c>
      <c r="N55" s="266">
        <f t="shared" si="27"/>
        <v>11758.825312999999</v>
      </c>
      <c r="O55" s="266">
        <f t="shared" si="27"/>
        <v>19116.93626771</v>
      </c>
      <c r="P55" s="266">
        <f t="shared" si="27"/>
        <v>30875.761580710001</v>
      </c>
      <c r="Q55" s="266">
        <f t="shared" si="28"/>
        <v>11876.413566129999</v>
      </c>
      <c r="R55" s="266">
        <f t="shared" si="28"/>
        <v>19308.105630387097</v>
      </c>
      <c r="S55" s="266">
        <f t="shared" si="28"/>
        <v>31184.519196517096</v>
      </c>
      <c r="T55" s="266">
        <f t="shared" si="29"/>
        <v>11995.177701791301</v>
      </c>
      <c r="U55" s="266">
        <f t="shared" si="29"/>
        <v>19501.186686690973</v>
      </c>
      <c r="V55" s="266">
        <f t="shared" si="29"/>
        <v>31496.364388482274</v>
      </c>
      <c r="W55" s="266">
        <f t="shared" si="30"/>
        <v>12115.129478809211</v>
      </c>
      <c r="X55" s="266">
        <f t="shared" si="31"/>
        <v>33102.995513906601</v>
      </c>
      <c r="Y55" s="266">
        <f t="shared" si="32"/>
        <v>19696.198553557879</v>
      </c>
      <c r="Z55" s="267">
        <f t="shared" si="33"/>
        <v>12236.280773597307</v>
      </c>
      <c r="AA55" s="267">
        <f t="shared" si="33"/>
        <v>19893.16053909346</v>
      </c>
      <c r="AB55" s="267">
        <f t="shared" si="33"/>
        <v>32129.441312690768</v>
      </c>
      <c r="AC55" s="266">
        <f t="shared" si="34"/>
        <v>12358.643581333281</v>
      </c>
      <c r="AD55" s="266">
        <f t="shared" si="34"/>
        <v>20092.092144484399</v>
      </c>
      <c r="AE55" s="266">
        <f t="shared" si="34"/>
        <v>32450.735725817678</v>
      </c>
      <c r="AF55" s="266">
        <f t="shared" si="35"/>
        <v>12482.230017146614</v>
      </c>
      <c r="AG55" s="268">
        <f t="shared" si="35"/>
        <v>20293.013065929241</v>
      </c>
      <c r="AH55" s="266">
        <f t="shared" si="35"/>
        <v>32775.243083075853</v>
      </c>
    </row>
    <row r="56" spans="1:34" x14ac:dyDescent="0.25">
      <c r="A56" s="11" t="s">
        <v>600</v>
      </c>
      <c r="B56" s="11">
        <v>9565</v>
      </c>
      <c r="C56" s="11">
        <v>13556</v>
      </c>
      <c r="D56" s="11">
        <v>23121</v>
      </c>
      <c r="E56" s="266">
        <f t="shared" si="24"/>
        <v>9660.65</v>
      </c>
      <c r="F56" s="266">
        <f t="shared" si="24"/>
        <v>13691.56</v>
      </c>
      <c r="G56" s="266">
        <f t="shared" si="24"/>
        <v>23352.21</v>
      </c>
      <c r="H56" s="266">
        <f t="shared" si="25"/>
        <v>9757.2564999999995</v>
      </c>
      <c r="I56" s="266">
        <f t="shared" si="25"/>
        <v>13828.4756</v>
      </c>
      <c r="J56" s="266">
        <f t="shared" si="25"/>
        <v>23585.732100000001</v>
      </c>
      <c r="K56" s="266">
        <f t="shared" si="26"/>
        <v>9854.8290649999999</v>
      </c>
      <c r="L56" s="266">
        <f t="shared" si="26"/>
        <v>13966.760355999999</v>
      </c>
      <c r="M56" s="266">
        <f t="shared" si="26"/>
        <v>23821.589420999997</v>
      </c>
      <c r="N56" s="266">
        <f t="shared" si="27"/>
        <v>9953.37735565</v>
      </c>
      <c r="O56" s="266">
        <f t="shared" si="27"/>
        <v>14106.42795956</v>
      </c>
      <c r="P56" s="266">
        <f t="shared" si="27"/>
        <v>24059.80531521</v>
      </c>
      <c r="Q56" s="266">
        <f t="shared" si="28"/>
        <v>10052.911129206499</v>
      </c>
      <c r="R56" s="266">
        <f t="shared" si="28"/>
        <v>14247.492239155599</v>
      </c>
      <c r="S56" s="266">
        <f t="shared" si="28"/>
        <v>24300.403368362098</v>
      </c>
      <c r="T56" s="266">
        <f t="shared" si="29"/>
        <v>10153.440240498567</v>
      </c>
      <c r="U56" s="266">
        <f t="shared" si="29"/>
        <v>14389.967161547158</v>
      </c>
      <c r="V56" s="266">
        <f t="shared" si="29"/>
        <v>24543.407402045723</v>
      </c>
      <c r="W56" s="266">
        <f t="shared" si="30"/>
        <v>10254.974642903549</v>
      </c>
      <c r="X56" s="266">
        <f t="shared" si="31"/>
        <v>25795.36784324878</v>
      </c>
      <c r="Y56" s="266">
        <f t="shared" si="32"/>
        <v>14533.866833162625</v>
      </c>
      <c r="Z56" s="267">
        <f t="shared" si="33"/>
        <v>10357.524389332588</v>
      </c>
      <c r="AA56" s="267">
        <f t="shared" si="33"/>
        <v>14679.205501494256</v>
      </c>
      <c r="AB56" s="267">
        <f t="shared" si="33"/>
        <v>25036.729890826842</v>
      </c>
      <c r="AC56" s="266">
        <f t="shared" si="34"/>
        <v>10461.099633225915</v>
      </c>
      <c r="AD56" s="266">
        <f t="shared" si="34"/>
        <v>14825.997556509199</v>
      </c>
      <c r="AE56" s="266">
        <f t="shared" si="34"/>
        <v>25287.097189735112</v>
      </c>
      <c r="AF56" s="266">
        <f t="shared" si="35"/>
        <v>10565.710629558173</v>
      </c>
      <c r="AG56" s="268">
        <f t="shared" si="35"/>
        <v>14974.257532074291</v>
      </c>
      <c r="AH56" s="266">
        <f t="shared" si="35"/>
        <v>25539.968161632463</v>
      </c>
    </row>
    <row r="57" spans="1:34" x14ac:dyDescent="0.25">
      <c r="A57" s="11" t="s">
        <v>601</v>
      </c>
      <c r="B57" s="11">
        <v>9194</v>
      </c>
      <c r="C57" s="11">
        <v>12155</v>
      </c>
      <c r="D57" s="11">
        <v>21349</v>
      </c>
      <c r="E57" s="266">
        <f t="shared" si="24"/>
        <v>9285.94</v>
      </c>
      <c r="F57" s="266">
        <f t="shared" si="24"/>
        <v>12276.55</v>
      </c>
      <c r="G57" s="266">
        <f t="shared" si="24"/>
        <v>21562.49</v>
      </c>
      <c r="H57" s="266">
        <f t="shared" si="25"/>
        <v>9378.7993999999999</v>
      </c>
      <c r="I57" s="266">
        <f t="shared" si="25"/>
        <v>12399.315500000001</v>
      </c>
      <c r="J57" s="266">
        <f t="shared" si="25"/>
        <v>21778.1149</v>
      </c>
      <c r="K57" s="266">
        <f t="shared" si="26"/>
        <v>9472.5873939999983</v>
      </c>
      <c r="L57" s="266">
        <f t="shared" si="26"/>
        <v>12523.308654999999</v>
      </c>
      <c r="M57" s="266">
        <f t="shared" si="26"/>
        <v>21995.896048999999</v>
      </c>
      <c r="N57" s="266">
        <f t="shared" si="27"/>
        <v>9567.3132679400005</v>
      </c>
      <c r="O57" s="266">
        <f t="shared" si="27"/>
        <v>12648.54174155</v>
      </c>
      <c r="P57" s="266">
        <f t="shared" si="27"/>
        <v>22215.855009490002</v>
      </c>
      <c r="Q57" s="266">
        <f t="shared" si="28"/>
        <v>9662.9864006194002</v>
      </c>
      <c r="R57" s="266">
        <f t="shared" si="28"/>
        <v>12775.027158965499</v>
      </c>
      <c r="S57" s="266">
        <f t="shared" si="28"/>
        <v>22438.013559584899</v>
      </c>
      <c r="T57" s="266">
        <f t="shared" si="29"/>
        <v>9759.6162646255943</v>
      </c>
      <c r="U57" s="266">
        <f t="shared" si="29"/>
        <v>12902.777430555157</v>
      </c>
      <c r="V57" s="266">
        <f t="shared" si="29"/>
        <v>22662.393695180752</v>
      </c>
      <c r="W57" s="266">
        <f t="shared" si="30"/>
        <v>9857.2124272718484</v>
      </c>
      <c r="X57" s="266">
        <f t="shared" si="31"/>
        <v>23818.40353295784</v>
      </c>
      <c r="Y57" s="266">
        <f t="shared" si="32"/>
        <v>13031.805204860704</v>
      </c>
      <c r="Z57" s="267">
        <f t="shared" si="33"/>
        <v>9955.7845515445697</v>
      </c>
      <c r="AA57" s="267">
        <f t="shared" si="33"/>
        <v>13162.123256909315</v>
      </c>
      <c r="AB57" s="267">
        <f t="shared" si="33"/>
        <v>23117.907808453885</v>
      </c>
      <c r="AC57" s="266">
        <f t="shared" si="34"/>
        <v>10055.342397060016</v>
      </c>
      <c r="AD57" s="266">
        <f t="shared" si="34"/>
        <v>13293.744489478409</v>
      </c>
      <c r="AE57" s="266">
        <f t="shared" si="34"/>
        <v>23349.086886538425</v>
      </c>
      <c r="AF57" s="266">
        <f t="shared" si="35"/>
        <v>10155.895821030617</v>
      </c>
      <c r="AG57" s="268">
        <f t="shared" si="35"/>
        <v>13426.681934373193</v>
      </c>
      <c r="AH57" s="266">
        <f t="shared" si="35"/>
        <v>23582.57775540381</v>
      </c>
    </row>
    <row r="58" spans="1:34" x14ac:dyDescent="0.25">
      <c r="A58" s="11" t="s">
        <v>602</v>
      </c>
      <c r="B58" s="11">
        <v>6700</v>
      </c>
      <c r="C58" s="11">
        <v>7733</v>
      </c>
      <c r="D58" s="11">
        <v>14433</v>
      </c>
      <c r="E58" s="266">
        <f t="shared" si="24"/>
        <v>6767</v>
      </c>
      <c r="F58" s="266">
        <f t="shared" si="24"/>
        <v>7810.33</v>
      </c>
      <c r="G58" s="266">
        <f t="shared" si="24"/>
        <v>14577.33</v>
      </c>
      <c r="H58" s="266">
        <f t="shared" si="25"/>
        <v>6834.67</v>
      </c>
      <c r="I58" s="266">
        <f t="shared" si="25"/>
        <v>7888.4332999999997</v>
      </c>
      <c r="J58" s="266">
        <f t="shared" si="25"/>
        <v>14723.103300000001</v>
      </c>
      <c r="K58" s="266">
        <f t="shared" si="26"/>
        <v>6903.0166999999992</v>
      </c>
      <c r="L58" s="266">
        <f t="shared" si="26"/>
        <v>7967.3176329999997</v>
      </c>
      <c r="M58" s="266">
        <f t="shared" si="26"/>
        <v>14870.334332999999</v>
      </c>
      <c r="N58" s="266">
        <f t="shared" si="27"/>
        <v>6972.046867</v>
      </c>
      <c r="O58" s="266">
        <f t="shared" si="27"/>
        <v>8046.99080933</v>
      </c>
      <c r="P58" s="266">
        <f t="shared" si="27"/>
        <v>15019.037676330001</v>
      </c>
      <c r="Q58" s="266">
        <f t="shared" si="28"/>
        <v>7041.7673356699997</v>
      </c>
      <c r="R58" s="266">
        <f t="shared" si="28"/>
        <v>8127.4607174232997</v>
      </c>
      <c r="S58" s="266">
        <f t="shared" si="28"/>
        <v>15169.228053093299</v>
      </c>
      <c r="T58" s="266">
        <f t="shared" si="29"/>
        <v>7112.1850090267008</v>
      </c>
      <c r="U58" s="266">
        <f t="shared" si="29"/>
        <v>8208.7353245975337</v>
      </c>
      <c r="V58" s="266">
        <f t="shared" si="29"/>
        <v>15320.920333624235</v>
      </c>
      <c r="W58" s="266">
        <f t="shared" si="30"/>
        <v>7183.3068591169658</v>
      </c>
      <c r="X58" s="266">
        <f t="shared" si="31"/>
        <v>16102.441247420513</v>
      </c>
      <c r="Y58" s="266">
        <f t="shared" si="32"/>
        <v>8290.8226778435073</v>
      </c>
      <c r="Z58" s="267">
        <f t="shared" si="33"/>
        <v>7255.1399277081373</v>
      </c>
      <c r="AA58" s="267">
        <f t="shared" si="33"/>
        <v>8373.7309046219452</v>
      </c>
      <c r="AB58" s="267">
        <f t="shared" si="33"/>
        <v>15628.870832330082</v>
      </c>
      <c r="AC58" s="266">
        <f t="shared" si="34"/>
        <v>7327.6913269852193</v>
      </c>
      <c r="AD58" s="266">
        <f t="shared" si="34"/>
        <v>8457.468213668164</v>
      </c>
      <c r="AE58" s="266">
        <f t="shared" si="34"/>
        <v>15785.159540653383</v>
      </c>
      <c r="AF58" s="266">
        <f t="shared" si="35"/>
        <v>7400.9682402550716</v>
      </c>
      <c r="AG58" s="268">
        <f t="shared" si="35"/>
        <v>8542.0428958048469</v>
      </c>
      <c r="AH58" s="266">
        <f t="shared" si="35"/>
        <v>15943.011136059918</v>
      </c>
    </row>
    <row r="59" spans="1:34" x14ac:dyDescent="0.25">
      <c r="A59" s="11" t="s">
        <v>603</v>
      </c>
      <c r="B59" s="11">
        <v>5935</v>
      </c>
      <c r="C59" s="11">
        <v>6645</v>
      </c>
      <c r="D59" s="11">
        <v>12580</v>
      </c>
      <c r="E59" s="266">
        <f t="shared" si="24"/>
        <v>5994.35</v>
      </c>
      <c r="F59" s="266">
        <f t="shared" si="24"/>
        <v>6711.45</v>
      </c>
      <c r="G59" s="266">
        <f t="shared" si="24"/>
        <v>12705.8</v>
      </c>
      <c r="H59" s="266">
        <f t="shared" si="25"/>
        <v>6054.2934999999998</v>
      </c>
      <c r="I59" s="266">
        <f t="shared" si="25"/>
        <v>6778.5645000000004</v>
      </c>
      <c r="J59" s="266">
        <f t="shared" si="25"/>
        <v>12832.858</v>
      </c>
      <c r="K59" s="266">
        <f t="shared" si="26"/>
        <v>6114.8364349999993</v>
      </c>
      <c r="L59" s="266">
        <f t="shared" si="26"/>
        <v>6846.3501449999994</v>
      </c>
      <c r="M59" s="266">
        <f t="shared" si="26"/>
        <v>12961.18658</v>
      </c>
      <c r="N59" s="266">
        <f t="shared" si="27"/>
        <v>6175.9847993499998</v>
      </c>
      <c r="O59" s="266">
        <f t="shared" si="27"/>
        <v>6914.8136464500003</v>
      </c>
      <c r="P59" s="266">
        <f t="shared" si="27"/>
        <v>13090.798445800001</v>
      </c>
      <c r="Q59" s="266">
        <f t="shared" si="28"/>
        <v>6237.7446473434993</v>
      </c>
      <c r="R59" s="266">
        <f t="shared" si="28"/>
        <v>6983.9617829145</v>
      </c>
      <c r="S59" s="266">
        <f t="shared" si="28"/>
        <v>13221.706430257998</v>
      </c>
      <c r="T59" s="266">
        <f t="shared" si="29"/>
        <v>6300.1220938169354</v>
      </c>
      <c r="U59" s="266">
        <f t="shared" si="29"/>
        <v>7053.8014007436459</v>
      </c>
      <c r="V59" s="266">
        <f t="shared" si="29"/>
        <v>13353.923494560582</v>
      </c>
      <c r="W59" s="266">
        <f t="shared" si="30"/>
        <v>6363.1233147551029</v>
      </c>
      <c r="X59" s="266">
        <f t="shared" si="31"/>
        <v>14035.10780104968</v>
      </c>
      <c r="Y59" s="266">
        <f t="shared" si="32"/>
        <v>7124.3394147510808</v>
      </c>
      <c r="Z59" s="267">
        <f t="shared" si="33"/>
        <v>6426.7545479026558</v>
      </c>
      <c r="AA59" s="267">
        <f t="shared" si="33"/>
        <v>7195.5828088985927</v>
      </c>
      <c r="AB59" s="267">
        <f t="shared" si="33"/>
        <v>13622.337356801248</v>
      </c>
      <c r="AC59" s="266">
        <f t="shared" si="34"/>
        <v>6491.0220933816836</v>
      </c>
      <c r="AD59" s="266">
        <f t="shared" si="34"/>
        <v>7267.5386369875796</v>
      </c>
      <c r="AE59" s="266">
        <f t="shared" si="34"/>
        <v>13758.560730369263</v>
      </c>
      <c r="AF59" s="266">
        <f t="shared" si="35"/>
        <v>6555.9323143154998</v>
      </c>
      <c r="AG59" s="268">
        <f t="shared" si="35"/>
        <v>7340.2140233574555</v>
      </c>
      <c r="AH59" s="266">
        <f t="shared" si="35"/>
        <v>13896.146337672955</v>
      </c>
    </row>
    <row r="60" spans="1:34" x14ac:dyDescent="0.25">
      <c r="A60" s="11" t="s">
        <v>604</v>
      </c>
      <c r="B60" s="11">
        <v>9018</v>
      </c>
      <c r="C60" s="11">
        <v>10706</v>
      </c>
      <c r="D60" s="11">
        <v>19724</v>
      </c>
      <c r="E60" s="266">
        <f t="shared" si="24"/>
        <v>9108.18</v>
      </c>
      <c r="F60" s="266">
        <f t="shared" si="24"/>
        <v>10813.06</v>
      </c>
      <c r="G60" s="266">
        <f t="shared" si="24"/>
        <v>19921.240000000002</v>
      </c>
      <c r="H60" s="266">
        <f t="shared" si="25"/>
        <v>9199.2618000000002</v>
      </c>
      <c r="I60" s="266">
        <f t="shared" si="25"/>
        <v>10921.1906</v>
      </c>
      <c r="J60" s="266">
        <f t="shared" si="25"/>
        <v>20120.452400000002</v>
      </c>
      <c r="K60" s="266">
        <f t="shared" si="26"/>
        <v>9291.2544179999986</v>
      </c>
      <c r="L60" s="266">
        <f t="shared" si="26"/>
        <v>11030.402505999999</v>
      </c>
      <c r="M60" s="266">
        <f t="shared" si="26"/>
        <v>20321.656923999999</v>
      </c>
      <c r="N60" s="266">
        <f t="shared" si="27"/>
        <v>9384.1669621800011</v>
      </c>
      <c r="O60" s="266">
        <f t="shared" si="27"/>
        <v>11140.706531060001</v>
      </c>
      <c r="P60" s="266">
        <f t="shared" si="27"/>
        <v>20524.87349324</v>
      </c>
      <c r="Q60" s="266">
        <f t="shared" si="28"/>
        <v>9478.0086318018002</v>
      </c>
      <c r="R60" s="266">
        <f t="shared" si="28"/>
        <v>11252.113596370598</v>
      </c>
      <c r="S60" s="266">
        <f t="shared" si="28"/>
        <v>20730.1222281724</v>
      </c>
      <c r="T60" s="266">
        <f t="shared" si="29"/>
        <v>9572.7887181198184</v>
      </c>
      <c r="U60" s="266">
        <f t="shared" si="29"/>
        <v>11364.634732334307</v>
      </c>
      <c r="V60" s="266">
        <f t="shared" si="29"/>
        <v>20937.423450454127</v>
      </c>
      <c r="W60" s="266">
        <f t="shared" si="30"/>
        <v>9668.5166053010144</v>
      </c>
      <c r="X60" s="266">
        <f t="shared" si="31"/>
        <v>22005.442469626701</v>
      </c>
      <c r="Y60" s="266">
        <f t="shared" si="32"/>
        <v>11478.281079657647</v>
      </c>
      <c r="Z60" s="267">
        <f t="shared" si="33"/>
        <v>9765.2017713540281</v>
      </c>
      <c r="AA60" s="267">
        <f t="shared" si="33"/>
        <v>11593.063890454227</v>
      </c>
      <c r="AB60" s="267">
        <f t="shared" si="33"/>
        <v>21358.265661808255</v>
      </c>
      <c r="AC60" s="266">
        <f t="shared" si="34"/>
        <v>9862.8537890675689</v>
      </c>
      <c r="AD60" s="266">
        <f t="shared" si="34"/>
        <v>11708.99452935877</v>
      </c>
      <c r="AE60" s="266">
        <f t="shared" si="34"/>
        <v>21571.848318426339</v>
      </c>
      <c r="AF60" s="266">
        <f t="shared" si="35"/>
        <v>9961.4823269582448</v>
      </c>
      <c r="AG60" s="268">
        <f t="shared" si="35"/>
        <v>11826.084474652358</v>
      </c>
      <c r="AH60" s="266">
        <f t="shared" si="35"/>
        <v>21787.566801610603</v>
      </c>
    </row>
    <row r="61" spans="1:34" x14ac:dyDescent="0.25">
      <c r="A61" s="11" t="s">
        <v>605</v>
      </c>
      <c r="B61" s="11">
        <v>501</v>
      </c>
      <c r="C61" s="11">
        <v>710</v>
      </c>
      <c r="D61" s="11">
        <v>1211</v>
      </c>
      <c r="E61" s="266">
        <f t="shared" si="24"/>
        <v>506.01</v>
      </c>
      <c r="F61" s="266">
        <f t="shared" si="24"/>
        <v>717.1</v>
      </c>
      <c r="G61" s="266">
        <f t="shared" si="24"/>
        <v>1223.1099999999999</v>
      </c>
      <c r="H61" s="266">
        <f t="shared" si="25"/>
        <v>511.07010000000002</v>
      </c>
      <c r="I61" s="266">
        <f t="shared" si="25"/>
        <v>724.27099999999996</v>
      </c>
      <c r="J61" s="266">
        <f t="shared" si="25"/>
        <v>1235.3411000000001</v>
      </c>
      <c r="K61" s="266">
        <f t="shared" si="26"/>
        <v>516.18080099999997</v>
      </c>
      <c r="L61" s="266">
        <f t="shared" si="26"/>
        <v>731.51370999999995</v>
      </c>
      <c r="M61" s="266">
        <f t="shared" si="26"/>
        <v>1247.6945109999999</v>
      </c>
      <c r="N61" s="266">
        <f t="shared" si="27"/>
        <v>521.34260901000005</v>
      </c>
      <c r="O61" s="266">
        <f t="shared" si="27"/>
        <v>738.82884709999996</v>
      </c>
      <c r="P61" s="266">
        <f t="shared" si="27"/>
        <v>1260.17145611</v>
      </c>
      <c r="Q61" s="266">
        <f t="shared" si="28"/>
        <v>526.55603510009996</v>
      </c>
      <c r="R61" s="266">
        <f t="shared" si="28"/>
        <v>746.21713557099997</v>
      </c>
      <c r="S61" s="266">
        <f t="shared" si="28"/>
        <v>1272.7731706710999</v>
      </c>
      <c r="T61" s="266">
        <f t="shared" si="29"/>
        <v>531.82159545110108</v>
      </c>
      <c r="U61" s="266">
        <f t="shared" si="29"/>
        <v>753.67930692671007</v>
      </c>
      <c r="V61" s="266">
        <f t="shared" si="29"/>
        <v>1285.5009023778111</v>
      </c>
      <c r="W61" s="266">
        <f t="shared" si="30"/>
        <v>537.13981140561191</v>
      </c>
      <c r="X61" s="266">
        <f t="shared" si="31"/>
        <v>1351.074367811698</v>
      </c>
      <c r="Y61" s="266">
        <f t="shared" si="32"/>
        <v>761.21609999597695</v>
      </c>
      <c r="Z61" s="267">
        <f t="shared" si="33"/>
        <v>542.51120951966823</v>
      </c>
      <c r="AA61" s="267">
        <f t="shared" si="33"/>
        <v>768.82826099593694</v>
      </c>
      <c r="AB61" s="267">
        <f t="shared" si="33"/>
        <v>1311.3394705156052</v>
      </c>
      <c r="AC61" s="266">
        <f t="shared" si="34"/>
        <v>547.93632161486494</v>
      </c>
      <c r="AD61" s="266">
        <f t="shared" si="34"/>
        <v>776.51654360589635</v>
      </c>
      <c r="AE61" s="266">
        <f t="shared" si="34"/>
        <v>1324.4528652207614</v>
      </c>
      <c r="AF61" s="266">
        <f t="shared" si="35"/>
        <v>553.41568483101355</v>
      </c>
      <c r="AG61" s="268">
        <f t="shared" si="35"/>
        <v>784.28170904195542</v>
      </c>
      <c r="AH61" s="266">
        <f t="shared" si="35"/>
        <v>1337.6973938729689</v>
      </c>
    </row>
    <row r="62" spans="1:34" x14ac:dyDescent="0.25">
      <c r="A62" s="263" t="s">
        <v>2</v>
      </c>
      <c r="B62" s="263">
        <v>567140</v>
      </c>
      <c r="C62" s="263">
        <v>585380</v>
      </c>
      <c r="D62" s="263">
        <v>1152520</v>
      </c>
      <c r="E62" s="270">
        <f t="shared" si="24"/>
        <v>572811.4</v>
      </c>
      <c r="F62" s="270">
        <f t="shared" si="24"/>
        <v>591233.80000000005</v>
      </c>
      <c r="G62" s="270">
        <f t="shared" si="24"/>
        <v>1164045.2</v>
      </c>
      <c r="H62" s="270">
        <f t="shared" si="25"/>
        <v>578539.51399999997</v>
      </c>
      <c r="I62" s="270">
        <f t="shared" si="25"/>
        <v>597146.13800000004</v>
      </c>
      <c r="J62" s="270">
        <f t="shared" si="25"/>
        <v>1175685.652</v>
      </c>
      <c r="K62" s="270">
        <f t="shared" si="26"/>
        <v>584324.90914</v>
      </c>
      <c r="L62" s="270">
        <f t="shared" si="26"/>
        <v>603117.59937999991</v>
      </c>
      <c r="M62" s="270">
        <f t="shared" si="26"/>
        <v>1187442.5085199999</v>
      </c>
      <c r="N62" s="270">
        <f t="shared" si="27"/>
        <v>590168.15823140007</v>
      </c>
      <c r="O62" s="270">
        <f t="shared" si="27"/>
        <v>609148.77537379996</v>
      </c>
      <c r="P62" s="270">
        <f t="shared" si="27"/>
        <v>1199316.9336051999</v>
      </c>
      <c r="Q62" s="270">
        <f t="shared" si="28"/>
        <v>596069.83981371392</v>
      </c>
      <c r="R62" s="270">
        <f t="shared" si="28"/>
        <v>615240.26312753791</v>
      </c>
      <c r="S62" s="270">
        <f t="shared" si="28"/>
        <v>1211310.1029412518</v>
      </c>
      <c r="T62" s="270">
        <f t="shared" si="29"/>
        <v>602030.53821185126</v>
      </c>
      <c r="U62" s="270">
        <f t="shared" si="29"/>
        <v>621392.6657588135</v>
      </c>
      <c r="V62" s="270">
        <f t="shared" si="29"/>
        <v>1223423.2039706646</v>
      </c>
      <c r="W62" s="270">
        <f t="shared" si="30"/>
        <v>608050.84359396959</v>
      </c>
      <c r="X62" s="270">
        <f t="shared" si="31"/>
        <v>1285830.0828987104</v>
      </c>
      <c r="Y62" s="270">
        <f t="shared" si="32"/>
        <v>627606.59241640137</v>
      </c>
      <c r="Z62" s="271">
        <f t="shared" si="33"/>
        <v>614131.35202990938</v>
      </c>
      <c r="AA62" s="271">
        <f t="shared" si="33"/>
        <v>633882.65834056563</v>
      </c>
      <c r="AB62" s="271">
        <f t="shared" si="33"/>
        <v>1248014.010370475</v>
      </c>
      <c r="AC62" s="270">
        <f t="shared" si="34"/>
        <v>620272.66555020853</v>
      </c>
      <c r="AD62" s="270">
        <f t="shared" si="34"/>
        <v>640221.48492397135</v>
      </c>
      <c r="AE62" s="270">
        <f t="shared" si="34"/>
        <v>1260494.1504741798</v>
      </c>
      <c r="AF62" s="270">
        <f t="shared" si="35"/>
        <v>626475.39220571064</v>
      </c>
      <c r="AG62" s="272">
        <f t="shared" si="35"/>
        <v>646623.69977321103</v>
      </c>
      <c r="AH62" s="270">
        <f t="shared" si="35"/>
        <v>1273099.0919789218</v>
      </c>
    </row>
    <row r="64" spans="1:34" x14ac:dyDescent="0.25">
      <c r="A64" s="263" t="s">
        <v>609</v>
      </c>
      <c r="B64" s="273"/>
      <c r="C64" s="274">
        <v>2012</v>
      </c>
      <c r="D64" s="275"/>
      <c r="E64" s="351">
        <v>2013</v>
      </c>
      <c r="F64" s="352"/>
      <c r="G64" s="353"/>
      <c r="H64" s="351">
        <v>2014</v>
      </c>
      <c r="I64" s="352"/>
      <c r="J64" s="353"/>
      <c r="K64" s="351">
        <v>2015</v>
      </c>
      <c r="L64" s="352"/>
      <c r="M64" s="353"/>
      <c r="N64" s="351">
        <v>2016</v>
      </c>
      <c r="O64" s="352"/>
      <c r="P64" s="353"/>
      <c r="Q64" s="351">
        <v>2017</v>
      </c>
      <c r="R64" s="352"/>
      <c r="S64" s="353"/>
      <c r="T64" s="351">
        <v>2018</v>
      </c>
      <c r="U64" s="352"/>
      <c r="V64" s="353"/>
      <c r="W64" s="351">
        <v>2019</v>
      </c>
      <c r="X64" s="352"/>
      <c r="Y64" s="353"/>
      <c r="Z64" s="354">
        <v>2020</v>
      </c>
      <c r="AA64" s="355"/>
      <c r="AB64" s="356"/>
      <c r="AC64" s="351">
        <v>2021</v>
      </c>
      <c r="AD64" s="352"/>
      <c r="AE64" s="353"/>
      <c r="AF64" s="351">
        <v>2022</v>
      </c>
      <c r="AG64" s="352"/>
      <c r="AH64" s="353"/>
    </row>
    <row r="65" spans="1:45" x14ac:dyDescent="0.25">
      <c r="A65" s="263" t="s">
        <v>607</v>
      </c>
      <c r="B65" s="262" t="s">
        <v>3</v>
      </c>
      <c r="C65" s="262" t="s">
        <v>4</v>
      </c>
      <c r="D65" s="262" t="s">
        <v>2</v>
      </c>
      <c r="E65" s="264" t="s">
        <v>582</v>
      </c>
      <c r="F65" s="264" t="s">
        <v>583</v>
      </c>
      <c r="G65" s="264" t="s">
        <v>2</v>
      </c>
      <c r="H65" s="264" t="s">
        <v>582</v>
      </c>
      <c r="I65" s="264" t="s">
        <v>583</v>
      </c>
      <c r="J65" s="264" t="s">
        <v>2</v>
      </c>
      <c r="K65" s="264" t="s">
        <v>582</v>
      </c>
      <c r="L65" s="264" t="s">
        <v>583</v>
      </c>
      <c r="M65" s="264" t="s">
        <v>2</v>
      </c>
      <c r="N65" s="264" t="s">
        <v>582</v>
      </c>
      <c r="O65" s="264" t="s">
        <v>583</v>
      </c>
      <c r="P65" s="264" t="s">
        <v>2</v>
      </c>
      <c r="Q65" s="264" t="s">
        <v>582</v>
      </c>
      <c r="R65" s="264" t="s">
        <v>583</v>
      </c>
      <c r="S65" s="264" t="s">
        <v>2</v>
      </c>
      <c r="T65" s="264" t="s">
        <v>582</v>
      </c>
      <c r="U65" s="264" t="s">
        <v>583</v>
      </c>
      <c r="V65" s="264" t="s">
        <v>2</v>
      </c>
      <c r="W65" s="264" t="s">
        <v>582</v>
      </c>
      <c r="X65" s="264" t="s">
        <v>583</v>
      </c>
      <c r="Y65" s="264" t="s">
        <v>2</v>
      </c>
      <c r="Z65" s="265" t="s">
        <v>582</v>
      </c>
      <c r="AA65" s="265" t="s">
        <v>583</v>
      </c>
      <c r="AB65" s="265" t="s">
        <v>2</v>
      </c>
      <c r="AC65" s="264" t="s">
        <v>582</v>
      </c>
      <c r="AD65" s="264" t="s">
        <v>583</v>
      </c>
      <c r="AE65" s="264" t="s">
        <v>2</v>
      </c>
      <c r="AF65" s="264" t="s">
        <v>582</v>
      </c>
      <c r="AG65" s="264" t="s">
        <v>583</v>
      </c>
      <c r="AH65" s="264" t="s">
        <v>2</v>
      </c>
      <c r="AI65" t="s">
        <v>3</v>
      </c>
      <c r="AJ65" t="s">
        <v>4</v>
      </c>
      <c r="AK65" t="s">
        <v>584</v>
      </c>
      <c r="AL65" t="s">
        <v>631</v>
      </c>
      <c r="AM65" t="s">
        <v>632</v>
      </c>
      <c r="AN65" t="s">
        <v>633</v>
      </c>
      <c r="AO65" t="s">
        <v>585</v>
      </c>
      <c r="AP65" t="s">
        <v>586</v>
      </c>
      <c r="AQ65" t="s">
        <v>587</v>
      </c>
      <c r="AS65" t="s">
        <v>588</v>
      </c>
    </row>
    <row r="66" spans="1:45" x14ac:dyDescent="0.25">
      <c r="A66" s="11" t="s">
        <v>589</v>
      </c>
      <c r="B66" s="11">
        <v>102445</v>
      </c>
      <c r="C66" s="11">
        <v>103014</v>
      </c>
      <c r="D66" s="11">
        <v>205459</v>
      </c>
      <c r="E66" s="266">
        <f>B66*1.01</f>
        <v>103469.45</v>
      </c>
      <c r="F66" s="266">
        <f>C66*1.01</f>
        <v>104044.14</v>
      </c>
      <c r="G66" s="266">
        <f>D66*1.01</f>
        <v>207513.59</v>
      </c>
      <c r="H66" s="266">
        <f>B66*1.01^2</f>
        <v>104504.14449999999</v>
      </c>
      <c r="I66" s="266">
        <f>C66*1.01^2</f>
        <v>105084.5814</v>
      </c>
      <c r="J66" s="266">
        <f>D66*1.01^2</f>
        <v>209588.72589999999</v>
      </c>
      <c r="K66" s="266">
        <f>B66*1.01^3</f>
        <v>105549.18594499999</v>
      </c>
      <c r="L66" s="266">
        <f>C66*1.01^3</f>
        <v>106135.427214</v>
      </c>
      <c r="M66" s="266">
        <f>D66*1.01^3</f>
        <v>211684.61315899997</v>
      </c>
      <c r="N66" s="266">
        <f>B66*1.01^4</f>
        <v>106604.67780445</v>
      </c>
      <c r="O66" s="266">
        <f>C66*1.01^4</f>
        <v>107196.78148614</v>
      </c>
      <c r="P66" s="266">
        <f>D66*1.01^4</f>
        <v>213801.45929058999</v>
      </c>
      <c r="Q66" s="266">
        <f>B66*1.01^5</f>
        <v>107670.7245824945</v>
      </c>
      <c r="R66" s="266">
        <f>C66*1.01^5</f>
        <v>108268.74930100139</v>
      </c>
      <c r="S66" s="266">
        <f>D66*1.01^5</f>
        <v>215939.4738834959</v>
      </c>
      <c r="T66" s="266">
        <f>B66*1.01^6</f>
        <v>108747.43182831946</v>
      </c>
      <c r="U66" s="266">
        <f>C66*1.01^6</f>
        <v>109351.43679401143</v>
      </c>
      <c r="V66" s="266">
        <f>D66*1.01^6</f>
        <v>218098.86862233089</v>
      </c>
      <c r="W66" s="266">
        <f>B66*1.01^7</f>
        <v>109834.90614660262</v>
      </c>
      <c r="X66" s="266">
        <f>P66*1.01^7</f>
        <v>229224.10283750924</v>
      </c>
      <c r="Y66" s="266">
        <f>C66*1.01^7</f>
        <v>110444.95116195151</v>
      </c>
      <c r="Z66" s="267">
        <f>B66*1.01^8</f>
        <v>110933.25520806867</v>
      </c>
      <c r="AA66" s="267">
        <f>C66*1.01^8</f>
        <v>111549.40067357106</v>
      </c>
      <c r="AB66" s="267">
        <f>D66*1.01^8</f>
        <v>222482.65588163974</v>
      </c>
      <c r="AC66" s="266">
        <f>B66*1.01^9</f>
        <v>112042.58776014937</v>
      </c>
      <c r="AD66" s="266">
        <f>C66*1.01^9</f>
        <v>112664.89468030678</v>
      </c>
      <c r="AE66" s="266">
        <f>D66*1.01^9</f>
        <v>224707.48244045614</v>
      </c>
      <c r="AF66" s="266">
        <f>B66*1.01^10</f>
        <v>113163.01363775088</v>
      </c>
      <c r="AG66" s="268">
        <f>C66*1.01^10</f>
        <v>113791.54362710984</v>
      </c>
      <c r="AH66" s="266">
        <f>D66*1.01^10</f>
        <v>226954.55726486072</v>
      </c>
      <c r="AI66" s="6">
        <f>Z83/AB83</f>
        <v>0.48461175280957353</v>
      </c>
      <c r="AJ66" s="6">
        <f>AA83/AB83</f>
        <v>0.51538824719042642</v>
      </c>
      <c r="AK66" s="6">
        <f>AB66/AB83</f>
        <v>0.15276273183861169</v>
      </c>
      <c r="AL66" s="6">
        <f>SUM(AB66:AB68)/AB83</f>
        <v>0.41732474320702173</v>
      </c>
      <c r="AM66" s="6">
        <f>SUM(Z66:Z68)/Z83</f>
        <v>0.43281255513738509</v>
      </c>
      <c r="AN66" s="6">
        <f>SUM(AA66:AA68)/AA83</f>
        <v>0.40276178852640176</v>
      </c>
      <c r="AO66" s="6">
        <f>SUM(AB66:AB69)/AB83</f>
        <v>0.52323683692019429</v>
      </c>
      <c r="AP66" s="6">
        <f>SUM(AA69:AA75)/AA83</f>
        <v>0.45897278316843965</v>
      </c>
      <c r="AQ66" s="6">
        <f>SUM(Z69:Z75)/Z83</f>
        <v>0.46351458542056312</v>
      </c>
      <c r="AR66" s="6"/>
      <c r="AS66" s="6">
        <f>SUM(AB79:AB81)/AB83</f>
        <v>4.9269306408021081E-2</v>
      </c>
    </row>
    <row r="67" spans="1:45" x14ac:dyDescent="0.25">
      <c r="A67" s="269" t="s">
        <v>590</v>
      </c>
      <c r="B67" s="11">
        <v>88210</v>
      </c>
      <c r="C67" s="11">
        <v>88080</v>
      </c>
      <c r="D67" s="11">
        <v>176290</v>
      </c>
      <c r="E67" s="266">
        <f t="shared" ref="E67:G83" si="36">B67*1.01</f>
        <v>89092.1</v>
      </c>
      <c r="F67" s="266">
        <f t="shared" si="36"/>
        <v>88960.8</v>
      </c>
      <c r="G67" s="266">
        <f t="shared" si="36"/>
        <v>178052.9</v>
      </c>
      <c r="H67" s="266">
        <f t="shared" ref="H67:J83" si="37">B67*1.01^2</f>
        <v>89983.020999999993</v>
      </c>
      <c r="I67" s="266">
        <f t="shared" si="37"/>
        <v>89850.407999999996</v>
      </c>
      <c r="J67" s="266">
        <f t="shared" si="37"/>
        <v>179833.429</v>
      </c>
      <c r="K67" s="266">
        <f t="shared" ref="K67:M83" si="38">B67*1.01^3</f>
        <v>90882.851209999993</v>
      </c>
      <c r="L67" s="266">
        <f t="shared" si="38"/>
        <v>90748.912079999995</v>
      </c>
      <c r="M67" s="266">
        <f t="shared" si="38"/>
        <v>181631.76328999997</v>
      </c>
      <c r="N67" s="266">
        <f t="shared" ref="N67:P83" si="39">B67*1.01^4</f>
        <v>91791.679722100002</v>
      </c>
      <c r="O67" s="266">
        <f t="shared" si="39"/>
        <v>91656.401200799999</v>
      </c>
      <c r="P67" s="266">
        <f t="shared" si="39"/>
        <v>183448.0809229</v>
      </c>
      <c r="Q67" s="266">
        <f t="shared" ref="Q67:S83" si="40">B67*1.01^5</f>
        <v>92709.596519321</v>
      </c>
      <c r="R67" s="266">
        <f t="shared" si="40"/>
        <v>92572.965212807991</v>
      </c>
      <c r="S67" s="266">
        <f t="shared" si="40"/>
        <v>185282.56173212899</v>
      </c>
      <c r="T67" s="266">
        <f t="shared" ref="T67:V83" si="41">B67*1.01^6</f>
        <v>93636.69248451422</v>
      </c>
      <c r="U67" s="266">
        <f t="shared" si="41"/>
        <v>93498.694864936086</v>
      </c>
      <c r="V67" s="266">
        <f t="shared" si="41"/>
        <v>187135.38734945032</v>
      </c>
      <c r="W67" s="266">
        <f t="shared" ref="W67:W83" si="42">B67*1.01^7</f>
        <v>94573.059409359339</v>
      </c>
      <c r="X67" s="266">
        <f t="shared" ref="X67:X83" si="43">P67*1.01^7</f>
        <v>196681.17283362863</v>
      </c>
      <c r="Y67" s="266">
        <f t="shared" ref="Y67:Y83" si="44">C67*1.01^7</f>
        <v>94433.681813585426</v>
      </c>
      <c r="Z67" s="267">
        <f t="shared" ref="Z67:AB83" si="45">B67*1.01^8</f>
        <v>95518.790003452959</v>
      </c>
      <c r="AA67" s="267">
        <f t="shared" si="45"/>
        <v>95378.018631721308</v>
      </c>
      <c r="AB67" s="267">
        <f t="shared" si="45"/>
        <v>190896.80863517427</v>
      </c>
      <c r="AC67" s="266">
        <f t="shared" ref="AC67:AE83" si="46">B67*1.01^9</f>
        <v>96473.977903487495</v>
      </c>
      <c r="AD67" s="266">
        <f t="shared" si="46"/>
        <v>96331.798818038529</v>
      </c>
      <c r="AE67" s="266">
        <f t="shared" si="46"/>
        <v>192805.77672152602</v>
      </c>
      <c r="AF67" s="266">
        <f t="shared" ref="AF67:AH83" si="47">B67*1.01^10</f>
        <v>97438.717682522372</v>
      </c>
      <c r="AG67" s="268">
        <f t="shared" si="47"/>
        <v>97295.11680621891</v>
      </c>
      <c r="AH67" s="266">
        <f t="shared" si="47"/>
        <v>194733.8344887413</v>
      </c>
    </row>
    <row r="68" spans="1:45" x14ac:dyDescent="0.25">
      <c r="A68" s="269" t="s">
        <v>591</v>
      </c>
      <c r="B68" s="11">
        <v>91444</v>
      </c>
      <c r="C68" s="11">
        <v>88090</v>
      </c>
      <c r="D68" s="11">
        <v>179534</v>
      </c>
      <c r="E68" s="266">
        <f t="shared" si="36"/>
        <v>92358.44</v>
      </c>
      <c r="F68" s="266">
        <f t="shared" si="36"/>
        <v>88970.9</v>
      </c>
      <c r="G68" s="266">
        <f t="shared" si="36"/>
        <v>181329.34</v>
      </c>
      <c r="H68" s="266">
        <f t="shared" si="37"/>
        <v>93282.024399999995</v>
      </c>
      <c r="I68" s="266">
        <f t="shared" si="37"/>
        <v>89860.608999999997</v>
      </c>
      <c r="J68" s="266">
        <f t="shared" si="37"/>
        <v>183142.63339999999</v>
      </c>
      <c r="K68" s="266">
        <f t="shared" si="38"/>
        <v>94214.844643999997</v>
      </c>
      <c r="L68" s="266">
        <f t="shared" si="38"/>
        <v>90759.215089999998</v>
      </c>
      <c r="M68" s="266">
        <f t="shared" si="38"/>
        <v>184974.05973399998</v>
      </c>
      <c r="N68" s="266">
        <f t="shared" si="39"/>
        <v>95156.993090439995</v>
      </c>
      <c r="O68" s="266">
        <f t="shared" si="39"/>
        <v>91666.807240900001</v>
      </c>
      <c r="P68" s="266">
        <f t="shared" si="39"/>
        <v>186823.80033134</v>
      </c>
      <c r="Q68" s="266">
        <f t="shared" si="40"/>
        <v>96108.563021344395</v>
      </c>
      <c r="R68" s="266">
        <f t="shared" si="40"/>
        <v>92583.475313308998</v>
      </c>
      <c r="S68" s="266">
        <f t="shared" si="40"/>
        <v>188692.03833465339</v>
      </c>
      <c r="T68" s="266">
        <f t="shared" si="41"/>
        <v>97069.648651557858</v>
      </c>
      <c r="U68" s="266">
        <f t="shared" si="41"/>
        <v>93509.310066442107</v>
      </c>
      <c r="V68" s="266">
        <f t="shared" si="41"/>
        <v>190578.95871799995</v>
      </c>
      <c r="W68" s="266">
        <f t="shared" si="42"/>
        <v>98040.345138073404</v>
      </c>
      <c r="X68" s="266">
        <f t="shared" si="43"/>
        <v>200300.4009502109</v>
      </c>
      <c r="Y68" s="266">
        <f t="shared" si="44"/>
        <v>94444.403167106502</v>
      </c>
      <c r="Z68" s="267">
        <f t="shared" si="45"/>
        <v>99020.748589454175</v>
      </c>
      <c r="AA68" s="267">
        <f t="shared" si="45"/>
        <v>95388.847198777585</v>
      </c>
      <c r="AB68" s="267">
        <f t="shared" si="45"/>
        <v>194409.59578823176</v>
      </c>
      <c r="AC68" s="266">
        <f t="shared" si="46"/>
        <v>100010.95607534872</v>
      </c>
      <c r="AD68" s="266">
        <f t="shared" si="46"/>
        <v>96342.735670765367</v>
      </c>
      <c r="AE68" s="266">
        <f t="shared" si="46"/>
        <v>196353.69174611408</v>
      </c>
      <c r="AF68" s="266">
        <f t="shared" si="47"/>
        <v>101011.06563610221</v>
      </c>
      <c r="AG68" s="268">
        <f t="shared" si="47"/>
        <v>97306.163027473027</v>
      </c>
      <c r="AH68" s="266">
        <f t="shared" si="47"/>
        <v>198317.22866357522</v>
      </c>
    </row>
    <row r="69" spans="1:45" x14ac:dyDescent="0.25">
      <c r="A69" s="11" t="s">
        <v>592</v>
      </c>
      <c r="B69" s="11">
        <v>74785</v>
      </c>
      <c r="C69" s="11">
        <v>67662</v>
      </c>
      <c r="D69" s="11">
        <v>142447</v>
      </c>
      <c r="E69" s="266">
        <f t="shared" si="36"/>
        <v>75532.850000000006</v>
      </c>
      <c r="F69" s="266">
        <f t="shared" si="36"/>
        <v>68338.62</v>
      </c>
      <c r="G69" s="266">
        <f t="shared" si="36"/>
        <v>143871.47</v>
      </c>
      <c r="H69" s="266">
        <f t="shared" si="37"/>
        <v>76288.178499999995</v>
      </c>
      <c r="I69" s="266">
        <f t="shared" si="37"/>
        <v>69022.006200000003</v>
      </c>
      <c r="J69" s="266">
        <f t="shared" si="37"/>
        <v>145310.18470000001</v>
      </c>
      <c r="K69" s="266">
        <f t="shared" si="38"/>
        <v>77051.060285</v>
      </c>
      <c r="L69" s="266">
        <f t="shared" si="38"/>
        <v>69712.226261999996</v>
      </c>
      <c r="M69" s="266">
        <f t="shared" si="38"/>
        <v>146763.286547</v>
      </c>
      <c r="N69" s="266">
        <f t="shared" si="39"/>
        <v>77821.570887850001</v>
      </c>
      <c r="O69" s="266">
        <f t="shared" si="39"/>
        <v>70409.34852462</v>
      </c>
      <c r="P69" s="266">
        <f t="shared" si="39"/>
        <v>148230.91941247002</v>
      </c>
      <c r="Q69" s="266">
        <f t="shared" si="40"/>
        <v>78599.786596728489</v>
      </c>
      <c r="R69" s="266">
        <f t="shared" si="40"/>
        <v>71113.442009866194</v>
      </c>
      <c r="S69" s="266">
        <f t="shared" si="40"/>
        <v>149713.2286065947</v>
      </c>
      <c r="T69" s="266">
        <f t="shared" si="41"/>
        <v>79385.784462695796</v>
      </c>
      <c r="U69" s="266">
        <f t="shared" si="41"/>
        <v>71824.576429964873</v>
      </c>
      <c r="V69" s="266">
        <f t="shared" si="41"/>
        <v>151210.36089266065</v>
      </c>
      <c r="W69" s="266">
        <f t="shared" si="42"/>
        <v>80179.642307322734</v>
      </c>
      <c r="X69" s="266">
        <f t="shared" si="43"/>
        <v>158923.60897743434</v>
      </c>
      <c r="Y69" s="266">
        <f t="shared" si="44"/>
        <v>72542.822194264503</v>
      </c>
      <c r="Z69" s="267">
        <f t="shared" si="45"/>
        <v>80981.438730395981</v>
      </c>
      <c r="AA69" s="267">
        <f t="shared" si="45"/>
        <v>73268.250416207171</v>
      </c>
      <c r="AB69" s="267">
        <f t="shared" si="45"/>
        <v>154249.68914660314</v>
      </c>
      <c r="AC69" s="266">
        <f t="shared" si="46"/>
        <v>81791.253117699947</v>
      </c>
      <c r="AD69" s="266">
        <f t="shared" si="46"/>
        <v>74000.932920369247</v>
      </c>
      <c r="AE69" s="266">
        <f t="shared" si="46"/>
        <v>155792.18603806919</v>
      </c>
      <c r="AF69" s="266">
        <f t="shared" si="47"/>
        <v>82609.165648876951</v>
      </c>
      <c r="AG69" s="268">
        <f t="shared" si="47"/>
        <v>74740.942249572938</v>
      </c>
      <c r="AH69" s="266">
        <f t="shared" si="47"/>
        <v>157350.10789844987</v>
      </c>
    </row>
    <row r="70" spans="1:45" x14ac:dyDescent="0.25">
      <c r="A70" s="11" t="s">
        <v>593</v>
      </c>
      <c r="B70" s="11">
        <v>53895</v>
      </c>
      <c r="C70" s="11">
        <v>59998</v>
      </c>
      <c r="D70" s="11">
        <v>113893</v>
      </c>
      <c r="E70" s="266">
        <f t="shared" si="36"/>
        <v>54433.95</v>
      </c>
      <c r="F70" s="266">
        <f t="shared" si="36"/>
        <v>60597.98</v>
      </c>
      <c r="G70" s="266">
        <f t="shared" si="36"/>
        <v>115031.93000000001</v>
      </c>
      <c r="H70" s="266">
        <f t="shared" si="37"/>
        <v>54978.289499999999</v>
      </c>
      <c r="I70" s="266">
        <f t="shared" si="37"/>
        <v>61203.959799999997</v>
      </c>
      <c r="J70" s="266">
        <f t="shared" si="37"/>
        <v>116182.2493</v>
      </c>
      <c r="K70" s="266">
        <f t="shared" si="38"/>
        <v>55528.072394999996</v>
      </c>
      <c r="L70" s="266">
        <f t="shared" si="38"/>
        <v>61815.999397999993</v>
      </c>
      <c r="M70" s="266">
        <f t="shared" si="38"/>
        <v>117344.071793</v>
      </c>
      <c r="N70" s="266">
        <f t="shared" si="39"/>
        <v>56083.353118949999</v>
      </c>
      <c r="O70" s="266">
        <f t="shared" si="39"/>
        <v>62434.15939198</v>
      </c>
      <c r="P70" s="266">
        <f t="shared" si="39"/>
        <v>118517.51251093</v>
      </c>
      <c r="Q70" s="266">
        <f t="shared" si="40"/>
        <v>56644.186650139498</v>
      </c>
      <c r="R70" s="266">
        <f t="shared" si="40"/>
        <v>63058.500985899795</v>
      </c>
      <c r="S70" s="266">
        <f t="shared" si="40"/>
        <v>119702.68763603929</v>
      </c>
      <c r="T70" s="266">
        <f t="shared" si="41"/>
        <v>57210.6285166409</v>
      </c>
      <c r="U70" s="266">
        <f t="shared" si="41"/>
        <v>63689.085995758804</v>
      </c>
      <c r="V70" s="266">
        <f t="shared" si="41"/>
        <v>120899.7145123997</v>
      </c>
      <c r="W70" s="266">
        <f t="shared" si="42"/>
        <v>57782.734801807295</v>
      </c>
      <c r="X70" s="266">
        <f t="shared" si="43"/>
        <v>127066.81500675288</v>
      </c>
      <c r="Y70" s="266">
        <f t="shared" si="44"/>
        <v>64325.976855716377</v>
      </c>
      <c r="Z70" s="267">
        <f t="shared" si="45"/>
        <v>58360.562149825382</v>
      </c>
      <c r="AA70" s="267">
        <f t="shared" si="45"/>
        <v>64969.236624273559</v>
      </c>
      <c r="AB70" s="267">
        <f t="shared" si="45"/>
        <v>123329.79877409895</v>
      </c>
      <c r="AC70" s="266">
        <f t="shared" si="46"/>
        <v>58944.167771323642</v>
      </c>
      <c r="AD70" s="266">
        <f t="shared" si="46"/>
        <v>65618.928990516302</v>
      </c>
      <c r="AE70" s="266">
        <f t="shared" si="46"/>
        <v>124563.09676183994</v>
      </c>
      <c r="AF70" s="266">
        <f t="shared" si="47"/>
        <v>59533.609449036878</v>
      </c>
      <c r="AG70" s="268">
        <f t="shared" si="47"/>
        <v>66275.118280421462</v>
      </c>
      <c r="AH70" s="266">
        <f t="shared" si="47"/>
        <v>125808.72772945835</v>
      </c>
    </row>
    <row r="71" spans="1:45" x14ac:dyDescent="0.25">
      <c r="A71" s="11" t="s">
        <v>594</v>
      </c>
      <c r="B71" s="11">
        <v>51230</v>
      </c>
      <c r="C71" s="11">
        <v>58402</v>
      </c>
      <c r="D71" s="11">
        <v>109632</v>
      </c>
      <c r="E71" s="266">
        <f t="shared" si="36"/>
        <v>51742.3</v>
      </c>
      <c r="F71" s="266">
        <f t="shared" si="36"/>
        <v>58986.020000000004</v>
      </c>
      <c r="G71" s="266">
        <f t="shared" si="36"/>
        <v>110728.32000000001</v>
      </c>
      <c r="H71" s="266">
        <f t="shared" si="37"/>
        <v>52259.722999999998</v>
      </c>
      <c r="I71" s="266">
        <f t="shared" si="37"/>
        <v>59575.8802</v>
      </c>
      <c r="J71" s="266">
        <f t="shared" si="37"/>
        <v>111835.6032</v>
      </c>
      <c r="K71" s="266">
        <f t="shared" si="38"/>
        <v>52782.320229999998</v>
      </c>
      <c r="L71" s="266">
        <f t="shared" si="38"/>
        <v>60171.639001999996</v>
      </c>
      <c r="M71" s="266">
        <f t="shared" si="38"/>
        <v>112953.95923199999</v>
      </c>
      <c r="N71" s="266">
        <f t="shared" si="39"/>
        <v>53310.143432299999</v>
      </c>
      <c r="O71" s="266">
        <f t="shared" si="39"/>
        <v>60773.355392019999</v>
      </c>
      <c r="P71" s="266">
        <f t="shared" si="39"/>
        <v>114083.49882432001</v>
      </c>
      <c r="Q71" s="266">
        <f t="shared" si="40"/>
        <v>53843.244866622998</v>
      </c>
      <c r="R71" s="266">
        <f t="shared" si="40"/>
        <v>61381.088945940195</v>
      </c>
      <c r="S71" s="266">
        <f t="shared" si="40"/>
        <v>115224.33381256319</v>
      </c>
      <c r="T71" s="266">
        <f t="shared" si="41"/>
        <v>54381.677315289235</v>
      </c>
      <c r="U71" s="266">
        <f t="shared" si="41"/>
        <v>61994.899835399607</v>
      </c>
      <c r="V71" s="266">
        <f t="shared" si="41"/>
        <v>116376.57715068884</v>
      </c>
      <c r="W71" s="266">
        <f t="shared" si="42"/>
        <v>54925.494088442116</v>
      </c>
      <c r="X71" s="266">
        <f t="shared" si="43"/>
        <v>122312.95218161197</v>
      </c>
      <c r="Y71" s="266">
        <f t="shared" si="44"/>
        <v>62614.848833753589</v>
      </c>
      <c r="Z71" s="267">
        <f t="shared" si="45"/>
        <v>55474.749029326551</v>
      </c>
      <c r="AA71" s="267">
        <f t="shared" si="45"/>
        <v>63240.997322091142</v>
      </c>
      <c r="AB71" s="267">
        <f t="shared" si="45"/>
        <v>118715.74635141769</v>
      </c>
      <c r="AC71" s="266">
        <f t="shared" si="46"/>
        <v>56029.496519619817</v>
      </c>
      <c r="AD71" s="266">
        <f t="shared" si="46"/>
        <v>63873.407295312056</v>
      </c>
      <c r="AE71" s="266">
        <f t="shared" si="46"/>
        <v>119902.90381493188</v>
      </c>
      <c r="AF71" s="266">
        <f t="shared" si="47"/>
        <v>56589.791484816022</v>
      </c>
      <c r="AG71" s="268">
        <f t="shared" si="47"/>
        <v>64512.141368265176</v>
      </c>
      <c r="AH71" s="266">
        <f t="shared" si="47"/>
        <v>121101.93285308121</v>
      </c>
    </row>
    <row r="72" spans="1:45" x14ac:dyDescent="0.25">
      <c r="A72" s="11" t="s">
        <v>595</v>
      </c>
      <c r="B72" s="11">
        <v>43022</v>
      </c>
      <c r="C72" s="11">
        <v>46644</v>
      </c>
      <c r="D72" s="11">
        <v>89666</v>
      </c>
      <c r="E72" s="266">
        <f t="shared" si="36"/>
        <v>43452.22</v>
      </c>
      <c r="F72" s="266">
        <f t="shared" si="36"/>
        <v>47110.44</v>
      </c>
      <c r="G72" s="266">
        <f t="shared" si="36"/>
        <v>90562.66</v>
      </c>
      <c r="H72" s="266">
        <f t="shared" si="37"/>
        <v>43886.742200000001</v>
      </c>
      <c r="I72" s="266">
        <f t="shared" si="37"/>
        <v>47581.544399999999</v>
      </c>
      <c r="J72" s="266">
        <f t="shared" si="37"/>
        <v>91468.286600000007</v>
      </c>
      <c r="K72" s="266">
        <f t="shared" si="38"/>
        <v>44325.609621999996</v>
      </c>
      <c r="L72" s="266">
        <f t="shared" si="38"/>
        <v>48057.359843999999</v>
      </c>
      <c r="M72" s="266">
        <f t="shared" si="38"/>
        <v>92382.969465999995</v>
      </c>
      <c r="N72" s="266">
        <f t="shared" si="39"/>
        <v>44768.865718220004</v>
      </c>
      <c r="O72" s="266">
        <f t="shared" si="39"/>
        <v>48537.93344244</v>
      </c>
      <c r="P72" s="266">
        <f t="shared" si="39"/>
        <v>93306.799160659997</v>
      </c>
      <c r="Q72" s="266">
        <f t="shared" si="40"/>
        <v>45216.5543754022</v>
      </c>
      <c r="R72" s="266">
        <f t="shared" si="40"/>
        <v>49023.312776864397</v>
      </c>
      <c r="S72" s="266">
        <f t="shared" si="40"/>
        <v>94239.867152266597</v>
      </c>
      <c r="T72" s="266">
        <f t="shared" si="41"/>
        <v>45668.719919156225</v>
      </c>
      <c r="U72" s="266">
        <f t="shared" si="41"/>
        <v>49513.545904633051</v>
      </c>
      <c r="V72" s="266">
        <f t="shared" si="41"/>
        <v>95182.265823789276</v>
      </c>
      <c r="W72" s="266">
        <f t="shared" si="42"/>
        <v>46125.407118347779</v>
      </c>
      <c r="X72" s="266">
        <f t="shared" si="43"/>
        <v>100037.51797209226</v>
      </c>
      <c r="Y72" s="266">
        <f t="shared" si="44"/>
        <v>50008.681363679367</v>
      </c>
      <c r="Z72" s="267">
        <f t="shared" si="45"/>
        <v>46586.661189531267</v>
      </c>
      <c r="AA72" s="267">
        <f t="shared" si="45"/>
        <v>50508.768177316175</v>
      </c>
      <c r="AB72" s="267">
        <f t="shared" si="45"/>
        <v>97095.429366847442</v>
      </c>
      <c r="AC72" s="266">
        <f t="shared" si="46"/>
        <v>47052.527801426586</v>
      </c>
      <c r="AD72" s="266">
        <f t="shared" si="46"/>
        <v>51013.855859089337</v>
      </c>
      <c r="AE72" s="266">
        <f t="shared" si="46"/>
        <v>98066.38366051593</v>
      </c>
      <c r="AF72" s="266">
        <f t="shared" si="47"/>
        <v>47523.053079440848</v>
      </c>
      <c r="AG72" s="268">
        <f t="shared" si="47"/>
        <v>51523.994417680231</v>
      </c>
      <c r="AH72" s="266">
        <f t="shared" si="47"/>
        <v>99047.047497121079</v>
      </c>
    </row>
    <row r="73" spans="1:45" x14ac:dyDescent="0.25">
      <c r="A73" s="11" t="s">
        <v>596</v>
      </c>
      <c r="B73" s="11">
        <v>35198</v>
      </c>
      <c r="C73" s="11">
        <v>38574</v>
      </c>
      <c r="D73" s="11">
        <v>73772</v>
      </c>
      <c r="E73" s="266">
        <f t="shared" si="36"/>
        <v>35549.980000000003</v>
      </c>
      <c r="F73" s="266">
        <f t="shared" si="36"/>
        <v>38959.74</v>
      </c>
      <c r="G73" s="266">
        <f t="shared" si="36"/>
        <v>74509.72</v>
      </c>
      <c r="H73" s="266">
        <f t="shared" si="37"/>
        <v>35905.479800000001</v>
      </c>
      <c r="I73" s="266">
        <f t="shared" si="37"/>
        <v>39349.337399999997</v>
      </c>
      <c r="J73" s="266">
        <f t="shared" si="37"/>
        <v>75254.817200000005</v>
      </c>
      <c r="K73" s="266">
        <f t="shared" si="38"/>
        <v>36264.534597999998</v>
      </c>
      <c r="L73" s="266">
        <f t="shared" si="38"/>
        <v>39742.830773999995</v>
      </c>
      <c r="M73" s="266">
        <f t="shared" si="38"/>
        <v>76007.365372</v>
      </c>
      <c r="N73" s="266">
        <f t="shared" si="39"/>
        <v>36627.179943980002</v>
      </c>
      <c r="O73" s="266">
        <f t="shared" si="39"/>
        <v>40140.259081739998</v>
      </c>
      <c r="P73" s="266">
        <f t="shared" si="39"/>
        <v>76767.439025719999</v>
      </c>
      <c r="Q73" s="266">
        <f t="shared" si="40"/>
        <v>36993.451743419799</v>
      </c>
      <c r="R73" s="266">
        <f t="shared" si="40"/>
        <v>40541.661672557399</v>
      </c>
      <c r="S73" s="266">
        <f t="shared" si="40"/>
        <v>77535.11341597719</v>
      </c>
      <c r="T73" s="266">
        <f t="shared" si="41"/>
        <v>37363.386260854</v>
      </c>
      <c r="U73" s="266">
        <f t="shared" si="41"/>
        <v>40947.078289282981</v>
      </c>
      <c r="V73" s="266">
        <f t="shared" si="41"/>
        <v>78310.464550136981</v>
      </c>
      <c r="W73" s="266">
        <f t="shared" si="42"/>
        <v>37737.020123462535</v>
      </c>
      <c r="X73" s="266">
        <f t="shared" si="43"/>
        <v>82305.085270193726</v>
      </c>
      <c r="Y73" s="266">
        <f t="shared" si="44"/>
        <v>41356.549072175796</v>
      </c>
      <c r="Z73" s="267">
        <f t="shared" si="45"/>
        <v>38114.390324697168</v>
      </c>
      <c r="AA73" s="267">
        <f t="shared" si="45"/>
        <v>41770.114562897565</v>
      </c>
      <c r="AB73" s="267">
        <f t="shared" si="45"/>
        <v>79884.50488759474</v>
      </c>
      <c r="AC73" s="266">
        <f t="shared" si="46"/>
        <v>38495.534227944139</v>
      </c>
      <c r="AD73" s="266">
        <f t="shared" si="46"/>
        <v>42187.815708526548</v>
      </c>
      <c r="AE73" s="266">
        <f t="shared" si="46"/>
        <v>80683.349936470695</v>
      </c>
      <c r="AF73" s="266">
        <f t="shared" si="47"/>
        <v>38880.489570223588</v>
      </c>
      <c r="AG73" s="268">
        <f t="shared" si="47"/>
        <v>42609.693865611815</v>
      </c>
      <c r="AH73" s="266">
        <f t="shared" si="47"/>
        <v>81490.183435835395</v>
      </c>
    </row>
    <row r="74" spans="1:45" x14ac:dyDescent="0.25">
      <c r="A74" s="11" t="s">
        <v>597</v>
      </c>
      <c r="B74" s="11">
        <v>27057</v>
      </c>
      <c r="C74" s="11">
        <v>26892</v>
      </c>
      <c r="D74" s="11">
        <v>53949</v>
      </c>
      <c r="E74" s="266">
        <f t="shared" si="36"/>
        <v>27327.57</v>
      </c>
      <c r="F74" s="266">
        <f t="shared" si="36"/>
        <v>27160.920000000002</v>
      </c>
      <c r="G74" s="266">
        <f t="shared" si="36"/>
        <v>54488.49</v>
      </c>
      <c r="H74" s="266">
        <f t="shared" si="37"/>
        <v>27600.845700000002</v>
      </c>
      <c r="I74" s="266">
        <f t="shared" si="37"/>
        <v>27432.529200000001</v>
      </c>
      <c r="J74" s="266">
        <f t="shared" si="37"/>
        <v>55033.374900000003</v>
      </c>
      <c r="K74" s="266">
        <f t="shared" si="38"/>
        <v>27876.854156999998</v>
      </c>
      <c r="L74" s="266">
        <f t="shared" si="38"/>
        <v>27706.854491999999</v>
      </c>
      <c r="M74" s="266">
        <f t="shared" si="38"/>
        <v>55583.708648999993</v>
      </c>
      <c r="N74" s="266">
        <f t="shared" si="39"/>
        <v>28155.622698570001</v>
      </c>
      <c r="O74" s="266">
        <f t="shared" si="39"/>
        <v>27983.923036920001</v>
      </c>
      <c r="P74" s="266">
        <f t="shared" si="39"/>
        <v>56139.545735489999</v>
      </c>
      <c r="Q74" s="266">
        <f t="shared" si="40"/>
        <v>28437.178925555698</v>
      </c>
      <c r="R74" s="266">
        <f t="shared" si="40"/>
        <v>28263.762267289199</v>
      </c>
      <c r="S74" s="266">
        <f t="shared" si="40"/>
        <v>56700.941192844897</v>
      </c>
      <c r="T74" s="266">
        <f t="shared" si="41"/>
        <v>28721.550714811259</v>
      </c>
      <c r="U74" s="266">
        <f t="shared" si="41"/>
        <v>28546.399889962096</v>
      </c>
      <c r="V74" s="266">
        <f t="shared" si="41"/>
        <v>57267.950604773359</v>
      </c>
      <c r="W74" s="266">
        <f t="shared" si="42"/>
        <v>29008.766221959366</v>
      </c>
      <c r="X74" s="266">
        <f t="shared" si="43"/>
        <v>60189.191634247152</v>
      </c>
      <c r="Y74" s="266">
        <f t="shared" si="44"/>
        <v>28831.86388886171</v>
      </c>
      <c r="Z74" s="267">
        <f t="shared" si="45"/>
        <v>29298.853884178967</v>
      </c>
      <c r="AA74" s="267">
        <f t="shared" si="45"/>
        <v>29120.182527750334</v>
      </c>
      <c r="AB74" s="267">
        <f t="shared" si="45"/>
        <v>58419.036411929301</v>
      </c>
      <c r="AC74" s="266">
        <f t="shared" si="46"/>
        <v>29591.84242302076</v>
      </c>
      <c r="AD74" s="266">
        <f t="shared" si="46"/>
        <v>29411.384353027839</v>
      </c>
      <c r="AE74" s="266">
        <f t="shared" si="46"/>
        <v>59003.226776048599</v>
      </c>
      <c r="AF74" s="266">
        <f t="shared" si="47"/>
        <v>29887.760847250967</v>
      </c>
      <c r="AG74" s="268">
        <f t="shared" si="47"/>
        <v>29705.498196558117</v>
      </c>
      <c r="AH74" s="266">
        <f t="shared" si="47"/>
        <v>59593.259043809085</v>
      </c>
    </row>
    <row r="75" spans="1:45" x14ac:dyDescent="0.25">
      <c r="A75" s="11" t="s">
        <v>598</v>
      </c>
      <c r="B75" s="11">
        <v>16923</v>
      </c>
      <c r="C75" s="11">
        <v>19976</v>
      </c>
      <c r="D75" s="11">
        <v>36899</v>
      </c>
      <c r="E75" s="266">
        <f t="shared" si="36"/>
        <v>17092.23</v>
      </c>
      <c r="F75" s="266">
        <f t="shared" si="36"/>
        <v>20175.759999999998</v>
      </c>
      <c r="G75" s="266">
        <f t="shared" si="36"/>
        <v>37267.99</v>
      </c>
      <c r="H75" s="266">
        <f t="shared" si="37"/>
        <v>17263.152300000002</v>
      </c>
      <c r="I75" s="266">
        <f t="shared" si="37"/>
        <v>20377.517599999999</v>
      </c>
      <c r="J75" s="266">
        <f t="shared" si="37"/>
        <v>37640.669900000001</v>
      </c>
      <c r="K75" s="266">
        <f t="shared" si="38"/>
        <v>17435.783822999998</v>
      </c>
      <c r="L75" s="266">
        <f t="shared" si="38"/>
        <v>20581.292775999998</v>
      </c>
      <c r="M75" s="266">
        <f t="shared" si="38"/>
        <v>38017.076599</v>
      </c>
      <c r="N75" s="266">
        <f t="shared" si="39"/>
        <v>17610.141661230002</v>
      </c>
      <c r="O75" s="266">
        <f t="shared" si="39"/>
        <v>20787.10570376</v>
      </c>
      <c r="P75" s="266">
        <f t="shared" si="39"/>
        <v>38397.247364989998</v>
      </c>
      <c r="Q75" s="266">
        <f t="shared" si="40"/>
        <v>17786.2430778423</v>
      </c>
      <c r="R75" s="266">
        <f t="shared" si="40"/>
        <v>20994.976760797599</v>
      </c>
      <c r="S75" s="266">
        <f t="shared" si="40"/>
        <v>38781.219838639896</v>
      </c>
      <c r="T75" s="266">
        <f t="shared" si="41"/>
        <v>17964.105508620727</v>
      </c>
      <c r="U75" s="266">
        <f t="shared" si="41"/>
        <v>21204.92652840558</v>
      </c>
      <c r="V75" s="266">
        <f t="shared" si="41"/>
        <v>39169.032037026307</v>
      </c>
      <c r="W75" s="266">
        <f t="shared" si="42"/>
        <v>18143.746563706929</v>
      </c>
      <c r="X75" s="266">
        <f t="shared" si="43"/>
        <v>41167.046323603507</v>
      </c>
      <c r="Y75" s="266">
        <f t="shared" si="44"/>
        <v>21416.975793689628</v>
      </c>
      <c r="Z75" s="267">
        <f t="shared" si="45"/>
        <v>18325.184029344</v>
      </c>
      <c r="AA75" s="267">
        <f t="shared" si="45"/>
        <v>21631.145551626531</v>
      </c>
      <c r="AB75" s="267">
        <f t="shared" si="45"/>
        <v>39956.329580970531</v>
      </c>
      <c r="AC75" s="266">
        <f t="shared" si="46"/>
        <v>18508.435869637444</v>
      </c>
      <c r="AD75" s="266">
        <f t="shared" si="46"/>
        <v>21847.457007142799</v>
      </c>
      <c r="AE75" s="266">
        <f t="shared" si="46"/>
        <v>40355.892876780243</v>
      </c>
      <c r="AF75" s="266">
        <f t="shared" si="47"/>
        <v>18693.520228333819</v>
      </c>
      <c r="AG75" s="268">
        <f t="shared" si="47"/>
        <v>22065.931577214225</v>
      </c>
      <c r="AH75" s="266">
        <f t="shared" si="47"/>
        <v>40759.451805548044</v>
      </c>
    </row>
    <row r="76" spans="1:45" x14ac:dyDescent="0.25">
      <c r="A76" s="11" t="s">
        <v>599</v>
      </c>
      <c r="B76" s="11">
        <v>14269</v>
      </c>
      <c r="C76" s="11">
        <v>23130</v>
      </c>
      <c r="D76" s="11">
        <v>37399</v>
      </c>
      <c r="E76" s="266">
        <f t="shared" si="36"/>
        <v>14411.69</v>
      </c>
      <c r="F76" s="266">
        <f t="shared" si="36"/>
        <v>23361.3</v>
      </c>
      <c r="G76" s="266">
        <f t="shared" si="36"/>
        <v>37772.99</v>
      </c>
      <c r="H76" s="266">
        <f t="shared" si="37"/>
        <v>14555.8069</v>
      </c>
      <c r="I76" s="266">
        <f t="shared" si="37"/>
        <v>23594.913</v>
      </c>
      <c r="J76" s="266">
        <f t="shared" si="37"/>
        <v>38150.719900000004</v>
      </c>
      <c r="K76" s="266">
        <f t="shared" si="38"/>
        <v>14701.364968999998</v>
      </c>
      <c r="L76" s="266">
        <f t="shared" si="38"/>
        <v>23830.862129999998</v>
      </c>
      <c r="M76" s="266">
        <f t="shared" si="38"/>
        <v>38532.227098999996</v>
      </c>
      <c r="N76" s="266">
        <f t="shared" si="39"/>
        <v>14848.37861869</v>
      </c>
      <c r="O76" s="266">
        <f t="shared" si="39"/>
        <v>24069.1707513</v>
      </c>
      <c r="P76" s="266">
        <f t="shared" si="39"/>
        <v>38917.549369990003</v>
      </c>
      <c r="Q76" s="266">
        <f t="shared" si="40"/>
        <v>14996.8624048769</v>
      </c>
      <c r="R76" s="266">
        <f t="shared" si="40"/>
        <v>24309.862458812997</v>
      </c>
      <c r="S76" s="266">
        <f t="shared" si="40"/>
        <v>39306.724863689895</v>
      </c>
      <c r="T76" s="266">
        <f t="shared" si="41"/>
        <v>15146.831028925671</v>
      </c>
      <c r="U76" s="266">
        <f t="shared" si="41"/>
        <v>24552.961083401133</v>
      </c>
      <c r="V76" s="266">
        <f t="shared" si="41"/>
        <v>39699.792112326802</v>
      </c>
      <c r="W76" s="266">
        <f t="shared" si="42"/>
        <v>15298.299339214924</v>
      </c>
      <c r="X76" s="266">
        <f t="shared" si="43"/>
        <v>41724.880496936174</v>
      </c>
      <c r="Y76" s="266">
        <f t="shared" si="44"/>
        <v>24798.490694235137</v>
      </c>
      <c r="Z76" s="267">
        <f t="shared" si="45"/>
        <v>15451.282332607077</v>
      </c>
      <c r="AA76" s="267">
        <f t="shared" si="45"/>
        <v>25046.475601177495</v>
      </c>
      <c r="AB76" s="267">
        <f t="shared" si="45"/>
        <v>40497.757933784575</v>
      </c>
      <c r="AC76" s="266">
        <f t="shared" si="46"/>
        <v>15605.795155933149</v>
      </c>
      <c r="AD76" s="266">
        <f t="shared" si="46"/>
        <v>25296.940357189273</v>
      </c>
      <c r="AE76" s="266">
        <f t="shared" si="46"/>
        <v>40902.735513122418</v>
      </c>
      <c r="AF76" s="266">
        <f t="shared" si="47"/>
        <v>15761.853107492481</v>
      </c>
      <c r="AG76" s="268">
        <f t="shared" si="47"/>
        <v>25549.909760761166</v>
      </c>
      <c r="AH76" s="266">
        <f t="shared" si="47"/>
        <v>41311.762868253645</v>
      </c>
    </row>
    <row r="77" spans="1:45" x14ac:dyDescent="0.25">
      <c r="A77" s="11" t="s">
        <v>600</v>
      </c>
      <c r="B77" s="11">
        <v>12275</v>
      </c>
      <c r="C77" s="11">
        <v>18384</v>
      </c>
      <c r="D77" s="11">
        <v>30659</v>
      </c>
      <c r="E77" s="266">
        <f t="shared" si="36"/>
        <v>12397.75</v>
      </c>
      <c r="F77" s="266">
        <f t="shared" si="36"/>
        <v>18567.84</v>
      </c>
      <c r="G77" s="266">
        <f t="shared" si="36"/>
        <v>30965.59</v>
      </c>
      <c r="H77" s="266">
        <f t="shared" si="37"/>
        <v>12521.727500000001</v>
      </c>
      <c r="I77" s="266">
        <f t="shared" si="37"/>
        <v>18753.518400000001</v>
      </c>
      <c r="J77" s="266">
        <f t="shared" si="37"/>
        <v>31275.245900000002</v>
      </c>
      <c r="K77" s="266">
        <f t="shared" si="38"/>
        <v>12646.944774999998</v>
      </c>
      <c r="L77" s="266">
        <f t="shared" si="38"/>
        <v>18941.053583999997</v>
      </c>
      <c r="M77" s="266">
        <f t="shared" si="38"/>
        <v>31587.998358999997</v>
      </c>
      <c r="N77" s="266">
        <f t="shared" si="39"/>
        <v>12773.41422275</v>
      </c>
      <c r="O77" s="266">
        <f t="shared" si="39"/>
        <v>19130.464119840002</v>
      </c>
      <c r="P77" s="266">
        <f t="shared" si="39"/>
        <v>31903.87834259</v>
      </c>
      <c r="Q77" s="266">
        <f t="shared" si="40"/>
        <v>12901.148364977498</v>
      </c>
      <c r="R77" s="266">
        <f t="shared" si="40"/>
        <v>19321.768761038398</v>
      </c>
      <c r="S77" s="266">
        <f t="shared" si="40"/>
        <v>32222.917126015898</v>
      </c>
      <c r="T77" s="266">
        <f t="shared" si="41"/>
        <v>13030.159848627276</v>
      </c>
      <c r="U77" s="266">
        <f t="shared" si="41"/>
        <v>19514.986448648786</v>
      </c>
      <c r="V77" s="266">
        <f t="shared" si="41"/>
        <v>32545.146297276064</v>
      </c>
      <c r="W77" s="266">
        <f t="shared" si="42"/>
        <v>13160.461447113546</v>
      </c>
      <c r="X77" s="266">
        <f t="shared" si="43"/>
        <v>34205.275840411938</v>
      </c>
      <c r="Y77" s="266">
        <f t="shared" si="44"/>
        <v>19710.13631313527</v>
      </c>
      <c r="Z77" s="267">
        <f t="shared" si="45"/>
        <v>13292.066061584685</v>
      </c>
      <c r="AA77" s="267">
        <f t="shared" si="45"/>
        <v>19907.237676266628</v>
      </c>
      <c r="AB77" s="267">
        <f t="shared" si="45"/>
        <v>33199.303737851311</v>
      </c>
      <c r="AC77" s="266">
        <f t="shared" si="46"/>
        <v>13424.986722200532</v>
      </c>
      <c r="AD77" s="266">
        <f t="shared" si="46"/>
        <v>20106.310053029294</v>
      </c>
      <c r="AE77" s="266">
        <f t="shared" si="46"/>
        <v>33531.296775229828</v>
      </c>
      <c r="AF77" s="266">
        <f t="shared" si="47"/>
        <v>13559.236589422539</v>
      </c>
      <c r="AG77" s="268">
        <f t="shared" si="47"/>
        <v>20307.373153559587</v>
      </c>
      <c r="AH77" s="266">
        <f t="shared" si="47"/>
        <v>33866.609742982124</v>
      </c>
    </row>
    <row r="78" spans="1:45" x14ac:dyDescent="0.25">
      <c r="A78" s="11" t="s">
        <v>601</v>
      </c>
      <c r="B78" s="11">
        <v>10562</v>
      </c>
      <c r="C78" s="11">
        <v>15662</v>
      </c>
      <c r="D78" s="11">
        <v>26224</v>
      </c>
      <c r="E78" s="266">
        <f t="shared" si="36"/>
        <v>10667.62</v>
      </c>
      <c r="F78" s="266">
        <f t="shared" si="36"/>
        <v>15818.62</v>
      </c>
      <c r="G78" s="266">
        <f t="shared" si="36"/>
        <v>26486.240000000002</v>
      </c>
      <c r="H78" s="266">
        <f t="shared" si="37"/>
        <v>10774.296200000001</v>
      </c>
      <c r="I78" s="266">
        <f t="shared" si="37"/>
        <v>15976.806200000001</v>
      </c>
      <c r="J78" s="266">
        <f t="shared" si="37"/>
        <v>26751.1024</v>
      </c>
      <c r="K78" s="266">
        <f t="shared" si="38"/>
        <v>10882.039161999999</v>
      </c>
      <c r="L78" s="266">
        <f t="shared" si="38"/>
        <v>16136.574261999998</v>
      </c>
      <c r="M78" s="266">
        <f t="shared" si="38"/>
        <v>27018.613423999999</v>
      </c>
      <c r="N78" s="266">
        <f t="shared" si="39"/>
        <v>10990.859553620001</v>
      </c>
      <c r="O78" s="266">
        <f t="shared" si="39"/>
        <v>16297.940004620001</v>
      </c>
      <c r="P78" s="266">
        <f t="shared" si="39"/>
        <v>27288.79955824</v>
      </c>
      <c r="Q78" s="266">
        <f t="shared" si="40"/>
        <v>11100.7681491562</v>
      </c>
      <c r="R78" s="266">
        <f t="shared" si="40"/>
        <v>16460.919404666198</v>
      </c>
      <c r="S78" s="266">
        <f t="shared" si="40"/>
        <v>27561.687553822398</v>
      </c>
      <c r="T78" s="266">
        <f t="shared" si="41"/>
        <v>11211.775830647763</v>
      </c>
      <c r="U78" s="266">
        <f t="shared" si="41"/>
        <v>16625.528598712863</v>
      </c>
      <c r="V78" s="266">
        <f t="shared" si="41"/>
        <v>27837.304429360629</v>
      </c>
      <c r="W78" s="266">
        <f t="shared" si="42"/>
        <v>11323.893588954237</v>
      </c>
      <c r="X78" s="266">
        <f t="shared" si="43"/>
        <v>29257.286722951256</v>
      </c>
      <c r="Y78" s="266">
        <f t="shared" si="44"/>
        <v>16791.783884699988</v>
      </c>
      <c r="Z78" s="267">
        <f t="shared" si="45"/>
        <v>11437.132524843784</v>
      </c>
      <c r="AA78" s="267">
        <f t="shared" si="45"/>
        <v>16959.701723546994</v>
      </c>
      <c r="AB78" s="267">
        <f t="shared" si="45"/>
        <v>28396.834248390776</v>
      </c>
      <c r="AC78" s="266">
        <f t="shared" si="46"/>
        <v>11551.503850092222</v>
      </c>
      <c r="AD78" s="266">
        <f t="shared" si="46"/>
        <v>17129.298740782462</v>
      </c>
      <c r="AE78" s="266">
        <f t="shared" si="46"/>
        <v>28680.802590874686</v>
      </c>
      <c r="AF78" s="266">
        <f t="shared" si="47"/>
        <v>11667.018888593144</v>
      </c>
      <c r="AG78" s="268">
        <f t="shared" si="47"/>
        <v>17300.591728190288</v>
      </c>
      <c r="AH78" s="266">
        <f t="shared" si="47"/>
        <v>28967.610616783433</v>
      </c>
    </row>
    <row r="79" spans="1:45" x14ac:dyDescent="0.25">
      <c r="A79" s="11" t="s">
        <v>602</v>
      </c>
      <c r="B79" s="11">
        <v>8566</v>
      </c>
      <c r="C79" s="11">
        <v>11077</v>
      </c>
      <c r="D79" s="11">
        <v>19643</v>
      </c>
      <c r="E79" s="266">
        <f t="shared" si="36"/>
        <v>8651.66</v>
      </c>
      <c r="F79" s="266">
        <f t="shared" si="36"/>
        <v>11187.77</v>
      </c>
      <c r="G79" s="266">
        <f t="shared" si="36"/>
        <v>19839.43</v>
      </c>
      <c r="H79" s="266">
        <f t="shared" si="37"/>
        <v>8738.1766000000007</v>
      </c>
      <c r="I79" s="266">
        <f t="shared" si="37"/>
        <v>11299.6477</v>
      </c>
      <c r="J79" s="266">
        <f t="shared" si="37"/>
        <v>20037.8243</v>
      </c>
      <c r="K79" s="266">
        <f t="shared" si="38"/>
        <v>8825.5583659999993</v>
      </c>
      <c r="L79" s="266">
        <f t="shared" si="38"/>
        <v>11412.644176999998</v>
      </c>
      <c r="M79" s="266">
        <f t="shared" si="38"/>
        <v>20238.202542999999</v>
      </c>
      <c r="N79" s="266">
        <f t="shared" si="39"/>
        <v>8913.8139496599997</v>
      </c>
      <c r="O79" s="266">
        <f t="shared" si="39"/>
        <v>11526.770618770001</v>
      </c>
      <c r="P79" s="266">
        <f t="shared" si="39"/>
        <v>20440.58456843</v>
      </c>
      <c r="Q79" s="266">
        <f t="shared" si="40"/>
        <v>9002.952089156599</v>
      </c>
      <c r="R79" s="266">
        <f t="shared" si="40"/>
        <v>11642.038324957699</v>
      </c>
      <c r="S79" s="266">
        <f t="shared" si="40"/>
        <v>20644.990414114298</v>
      </c>
      <c r="T79" s="266">
        <f t="shared" si="41"/>
        <v>9092.9816100481676</v>
      </c>
      <c r="U79" s="266">
        <f t="shared" si="41"/>
        <v>11758.458708207278</v>
      </c>
      <c r="V79" s="266">
        <f t="shared" si="41"/>
        <v>20851.440318255445</v>
      </c>
      <c r="W79" s="266">
        <f t="shared" si="42"/>
        <v>9183.9114261486466</v>
      </c>
      <c r="X79" s="266">
        <f t="shared" si="43"/>
        <v>21915.07333354681</v>
      </c>
      <c r="Y79" s="266">
        <f t="shared" si="44"/>
        <v>11876.043295289348</v>
      </c>
      <c r="Z79" s="267">
        <f t="shared" si="45"/>
        <v>9275.7505404101357</v>
      </c>
      <c r="AA79" s="267">
        <f t="shared" si="45"/>
        <v>11994.803728242245</v>
      </c>
      <c r="AB79" s="267">
        <f t="shared" si="45"/>
        <v>21270.55426865238</v>
      </c>
      <c r="AC79" s="266">
        <f t="shared" si="46"/>
        <v>9368.5080458142365</v>
      </c>
      <c r="AD79" s="266">
        <f t="shared" si="46"/>
        <v>12114.751765524668</v>
      </c>
      <c r="AE79" s="266">
        <f t="shared" si="46"/>
        <v>21483.259811338907</v>
      </c>
      <c r="AF79" s="266">
        <f t="shared" si="47"/>
        <v>9462.1931262723792</v>
      </c>
      <c r="AG79" s="268">
        <f t="shared" si="47"/>
        <v>12235.899283179915</v>
      </c>
      <c r="AH79" s="266">
        <f t="shared" si="47"/>
        <v>21698.092409452296</v>
      </c>
    </row>
    <row r="80" spans="1:45" x14ac:dyDescent="0.25">
      <c r="A80" s="11" t="s">
        <v>603</v>
      </c>
      <c r="B80" s="11">
        <v>7790</v>
      </c>
      <c r="C80" s="11">
        <v>9497</v>
      </c>
      <c r="D80" s="11">
        <v>17287</v>
      </c>
      <c r="E80" s="266">
        <f t="shared" si="36"/>
        <v>7867.9</v>
      </c>
      <c r="F80" s="266">
        <f t="shared" si="36"/>
        <v>9591.9699999999993</v>
      </c>
      <c r="G80" s="266">
        <f t="shared" si="36"/>
        <v>17459.87</v>
      </c>
      <c r="H80" s="266">
        <f t="shared" si="37"/>
        <v>7946.5789999999997</v>
      </c>
      <c r="I80" s="266">
        <f t="shared" si="37"/>
        <v>9687.8896999999997</v>
      </c>
      <c r="J80" s="266">
        <f t="shared" si="37"/>
        <v>17634.468700000001</v>
      </c>
      <c r="K80" s="266">
        <f t="shared" si="38"/>
        <v>8026.044789999999</v>
      </c>
      <c r="L80" s="266">
        <f t="shared" si="38"/>
        <v>9784.7685969999984</v>
      </c>
      <c r="M80" s="266">
        <f t="shared" si="38"/>
        <v>17810.813386999998</v>
      </c>
      <c r="N80" s="266">
        <f t="shared" si="39"/>
        <v>8106.3052379000001</v>
      </c>
      <c r="O80" s="266">
        <f t="shared" si="39"/>
        <v>9882.6162829700006</v>
      </c>
      <c r="P80" s="266">
        <f t="shared" si="39"/>
        <v>17988.921520870001</v>
      </c>
      <c r="Q80" s="266">
        <f t="shared" si="40"/>
        <v>8187.3682902789997</v>
      </c>
      <c r="R80" s="266">
        <f t="shared" si="40"/>
        <v>9981.4424457996993</v>
      </c>
      <c r="S80" s="266">
        <f t="shared" si="40"/>
        <v>18168.8107360787</v>
      </c>
      <c r="T80" s="266">
        <f t="shared" si="41"/>
        <v>8269.2419731817918</v>
      </c>
      <c r="U80" s="266">
        <f t="shared" si="41"/>
        <v>10081.256870257699</v>
      </c>
      <c r="V80" s="266">
        <f t="shared" si="41"/>
        <v>18350.498843439491</v>
      </c>
      <c r="W80" s="266">
        <f t="shared" si="42"/>
        <v>8351.9343929136066</v>
      </c>
      <c r="X80" s="266">
        <f t="shared" si="43"/>
        <v>19286.558708803324</v>
      </c>
      <c r="Y80" s="266">
        <f t="shared" si="44"/>
        <v>10182.069438960272</v>
      </c>
      <c r="Z80" s="267">
        <f t="shared" si="45"/>
        <v>8435.4537368427445</v>
      </c>
      <c r="AA80" s="267">
        <f t="shared" si="45"/>
        <v>10283.890133349878</v>
      </c>
      <c r="AB80" s="267">
        <f t="shared" si="45"/>
        <v>18719.343870192624</v>
      </c>
      <c r="AC80" s="266">
        <f t="shared" si="46"/>
        <v>8519.8082742111728</v>
      </c>
      <c r="AD80" s="266">
        <f t="shared" si="46"/>
        <v>10386.729034683378</v>
      </c>
      <c r="AE80" s="266">
        <f t="shared" si="46"/>
        <v>18906.537308894549</v>
      </c>
      <c r="AF80" s="266">
        <f t="shared" si="47"/>
        <v>8605.0063569532849</v>
      </c>
      <c r="AG80" s="268">
        <f t="shared" si="47"/>
        <v>10490.596325030212</v>
      </c>
      <c r="AH80" s="266">
        <f t="shared" si="47"/>
        <v>19095.602681983495</v>
      </c>
    </row>
    <row r="81" spans="1:45" x14ac:dyDescent="0.25">
      <c r="A81" s="11" t="s">
        <v>604</v>
      </c>
      <c r="B81" s="11">
        <v>12889</v>
      </c>
      <c r="C81" s="11">
        <v>16446</v>
      </c>
      <c r="D81" s="11">
        <v>29335</v>
      </c>
      <c r="E81" s="266">
        <f t="shared" si="36"/>
        <v>13017.89</v>
      </c>
      <c r="F81" s="266">
        <f t="shared" si="36"/>
        <v>16610.46</v>
      </c>
      <c r="G81" s="266">
        <f t="shared" si="36"/>
        <v>29628.35</v>
      </c>
      <c r="H81" s="266">
        <f t="shared" si="37"/>
        <v>13148.0689</v>
      </c>
      <c r="I81" s="266">
        <f t="shared" si="37"/>
        <v>16776.564600000002</v>
      </c>
      <c r="J81" s="266">
        <f t="shared" si="37"/>
        <v>29924.6335</v>
      </c>
      <c r="K81" s="266">
        <f t="shared" si="38"/>
        <v>13279.549588999998</v>
      </c>
      <c r="L81" s="266">
        <f t="shared" si="38"/>
        <v>16944.330245999998</v>
      </c>
      <c r="M81" s="266">
        <f t="shared" si="38"/>
        <v>30223.879834999996</v>
      </c>
      <c r="N81" s="266">
        <f t="shared" si="39"/>
        <v>13412.345084890001</v>
      </c>
      <c r="O81" s="266">
        <f t="shared" si="39"/>
        <v>17113.773548460002</v>
      </c>
      <c r="P81" s="266">
        <f t="shared" si="39"/>
        <v>30526.118633350001</v>
      </c>
      <c r="Q81" s="266">
        <f t="shared" si="40"/>
        <v>13546.468535738899</v>
      </c>
      <c r="R81" s="266">
        <f t="shared" si="40"/>
        <v>17284.911283944599</v>
      </c>
      <c r="S81" s="266">
        <f t="shared" si="40"/>
        <v>30831.379819683498</v>
      </c>
      <c r="T81" s="266">
        <f t="shared" si="41"/>
        <v>13681.933221096291</v>
      </c>
      <c r="U81" s="266">
        <f t="shared" si="41"/>
        <v>17457.760396784048</v>
      </c>
      <c r="V81" s="266">
        <f t="shared" si="41"/>
        <v>31139.693617880341</v>
      </c>
      <c r="W81" s="266">
        <f t="shared" si="42"/>
        <v>13818.752553307249</v>
      </c>
      <c r="X81" s="266">
        <f t="shared" si="43"/>
        <v>32728.130949427057</v>
      </c>
      <c r="Y81" s="266">
        <f t="shared" si="44"/>
        <v>17632.338000751883</v>
      </c>
      <c r="Z81" s="267">
        <f t="shared" si="45"/>
        <v>13956.940078840325</v>
      </c>
      <c r="AA81" s="267">
        <f t="shared" si="45"/>
        <v>17808.661380759408</v>
      </c>
      <c r="AB81" s="267">
        <f t="shared" si="45"/>
        <v>31765.601459599733</v>
      </c>
      <c r="AC81" s="266">
        <f t="shared" si="46"/>
        <v>14096.50947962873</v>
      </c>
      <c r="AD81" s="266">
        <f t="shared" si="46"/>
        <v>17986.747994567002</v>
      </c>
      <c r="AE81" s="266">
        <f t="shared" si="46"/>
        <v>32083.257474195732</v>
      </c>
      <c r="AF81" s="266">
        <f t="shared" si="47"/>
        <v>14237.474574425018</v>
      </c>
      <c r="AG81" s="268">
        <f t="shared" si="47"/>
        <v>18166.615474512673</v>
      </c>
      <c r="AH81" s="266">
        <f t="shared" si="47"/>
        <v>32404.090048937691</v>
      </c>
    </row>
    <row r="82" spans="1:45" x14ac:dyDescent="0.25">
      <c r="A82" s="11" t="s">
        <v>605</v>
      </c>
      <c r="B82" s="11">
        <v>1221</v>
      </c>
      <c r="C82" s="11">
        <v>1646</v>
      </c>
      <c r="D82" s="11">
        <v>2867</v>
      </c>
      <c r="E82" s="266">
        <f t="shared" si="36"/>
        <v>1233.21</v>
      </c>
      <c r="F82" s="266">
        <f t="shared" si="36"/>
        <v>1662.46</v>
      </c>
      <c r="G82" s="266">
        <f t="shared" si="36"/>
        <v>2895.67</v>
      </c>
      <c r="H82" s="266">
        <f t="shared" si="37"/>
        <v>1245.5421000000001</v>
      </c>
      <c r="I82" s="266">
        <f>C82*1.01^2</f>
        <v>1679.0845999999999</v>
      </c>
      <c r="J82" s="266">
        <f t="shared" si="37"/>
        <v>2924.6266999999998</v>
      </c>
      <c r="K82" s="266">
        <f t="shared" si="38"/>
        <v>1257.9975209999998</v>
      </c>
      <c r="L82" s="266">
        <f t="shared" si="38"/>
        <v>1695.8754459999998</v>
      </c>
      <c r="M82" s="266">
        <f t="shared" si="38"/>
        <v>2953.8729669999998</v>
      </c>
      <c r="N82" s="266">
        <f t="shared" si="39"/>
        <v>1270.5774962099999</v>
      </c>
      <c r="O82" s="266">
        <f t="shared" si="39"/>
        <v>1712.8342004600001</v>
      </c>
      <c r="P82" s="266">
        <f t="shared" si="39"/>
        <v>2983.4116966699999</v>
      </c>
      <c r="Q82" s="266">
        <f t="shared" si="40"/>
        <v>1283.2832711720998</v>
      </c>
      <c r="R82" s="266">
        <f t="shared" si="40"/>
        <v>1729.9625424645999</v>
      </c>
      <c r="S82" s="266">
        <f t="shared" si="40"/>
        <v>3013.2458136366999</v>
      </c>
      <c r="T82" s="266">
        <f t="shared" si="41"/>
        <v>1296.1161038838211</v>
      </c>
      <c r="U82" s="266">
        <f t="shared" si="41"/>
        <v>1747.2621678892463</v>
      </c>
      <c r="V82" s="266">
        <f t="shared" si="41"/>
        <v>3043.3782717730674</v>
      </c>
      <c r="W82" s="266">
        <f t="shared" si="42"/>
        <v>1309.077264922659</v>
      </c>
      <c r="X82" s="266">
        <f t="shared" si="43"/>
        <v>3198.6211498894618</v>
      </c>
      <c r="Y82" s="266">
        <f t="shared" si="44"/>
        <v>1764.7347895681382</v>
      </c>
      <c r="Z82" s="267">
        <f t="shared" si="45"/>
        <v>1322.1680375718859</v>
      </c>
      <c r="AA82" s="267">
        <f t="shared" si="45"/>
        <v>1782.3821374638201</v>
      </c>
      <c r="AB82" s="267">
        <f t="shared" si="45"/>
        <v>3104.5501750357062</v>
      </c>
      <c r="AC82" s="266">
        <f t="shared" si="46"/>
        <v>1335.3897179476048</v>
      </c>
      <c r="AD82" s="266">
        <f t="shared" si="46"/>
        <v>1800.2059588384584</v>
      </c>
      <c r="AE82" s="266">
        <f t="shared" si="46"/>
        <v>3135.5956767860634</v>
      </c>
      <c r="AF82" s="266">
        <f t="shared" si="47"/>
        <v>1348.7436151270811</v>
      </c>
      <c r="AG82" s="268">
        <f t="shared" si="47"/>
        <v>1818.208018426843</v>
      </c>
      <c r="AH82" s="266">
        <f t="shared" si="47"/>
        <v>3166.9516335539238</v>
      </c>
    </row>
    <row r="83" spans="1:45" x14ac:dyDescent="0.25">
      <c r="A83" s="263" t="s">
        <v>2</v>
      </c>
      <c r="B83" s="263">
        <v>651781</v>
      </c>
      <c r="C83" s="263">
        <v>693174</v>
      </c>
      <c r="D83" s="263">
        <v>1344955</v>
      </c>
      <c r="E83" s="270">
        <f t="shared" si="36"/>
        <v>658298.81000000006</v>
      </c>
      <c r="F83" s="270">
        <f t="shared" si="36"/>
        <v>700105.74</v>
      </c>
      <c r="G83" s="270">
        <f t="shared" si="36"/>
        <v>1358404.55</v>
      </c>
      <c r="H83" s="270">
        <f t="shared" si="37"/>
        <v>664881.79810000001</v>
      </c>
      <c r="I83" s="270">
        <f t="shared" si="37"/>
        <v>707106.79740000004</v>
      </c>
      <c r="J83" s="270">
        <f t="shared" si="37"/>
        <v>1371988.5955000001</v>
      </c>
      <c r="K83" s="270">
        <f t="shared" si="38"/>
        <v>671530.61608099996</v>
      </c>
      <c r="L83" s="270">
        <f t="shared" si="38"/>
        <v>714177.86537399993</v>
      </c>
      <c r="M83" s="270">
        <f t="shared" si="38"/>
        <v>1385708.4814549999</v>
      </c>
      <c r="N83" s="270">
        <f t="shared" si="39"/>
        <v>678245.92224181001</v>
      </c>
      <c r="O83" s="270">
        <f t="shared" si="39"/>
        <v>721319.64402774</v>
      </c>
      <c r="P83" s="270">
        <f t="shared" si="39"/>
        <v>1399565.56626955</v>
      </c>
      <c r="Q83" s="270">
        <f t="shared" si="40"/>
        <v>685028.38146422803</v>
      </c>
      <c r="R83" s="270">
        <f t="shared" si="40"/>
        <v>728532.84046801738</v>
      </c>
      <c r="S83" s="270">
        <f t="shared" si="40"/>
        <v>1413561.2219322454</v>
      </c>
      <c r="T83" s="270">
        <f t="shared" si="41"/>
        <v>691878.6652788705</v>
      </c>
      <c r="U83" s="270">
        <f t="shared" si="41"/>
        <v>735818.16887269763</v>
      </c>
      <c r="V83" s="270">
        <f t="shared" si="41"/>
        <v>1427696.8341515681</v>
      </c>
      <c r="W83" s="270">
        <f t="shared" si="42"/>
        <v>698797.45193165902</v>
      </c>
      <c r="X83" s="270">
        <f t="shared" si="43"/>
        <v>1500523.7211892507</v>
      </c>
      <c r="Y83" s="270">
        <f t="shared" si="44"/>
        <v>743176.35056142439</v>
      </c>
      <c r="Z83" s="271">
        <f t="shared" si="45"/>
        <v>705785.4264509757</v>
      </c>
      <c r="AA83" s="271">
        <f t="shared" si="45"/>
        <v>750608.11406703887</v>
      </c>
      <c r="AB83" s="271">
        <f t="shared" si="45"/>
        <v>1456393.5405180147</v>
      </c>
      <c r="AC83" s="270">
        <f t="shared" si="46"/>
        <v>712843.28071548557</v>
      </c>
      <c r="AD83" s="270">
        <f t="shared" si="46"/>
        <v>758114.19520770933</v>
      </c>
      <c r="AE83" s="270">
        <f t="shared" si="46"/>
        <v>1470957.4759231948</v>
      </c>
      <c r="AF83" s="270">
        <f t="shared" si="47"/>
        <v>719971.71352264041</v>
      </c>
      <c r="AG83" s="272">
        <f t="shared" si="47"/>
        <v>765695.33715978649</v>
      </c>
      <c r="AH83" s="270">
        <f t="shared" si="47"/>
        <v>1485667.0506824269</v>
      </c>
    </row>
    <row r="84" spans="1:45" x14ac:dyDescent="0.25">
      <c r="A84" s="279"/>
      <c r="B84" s="279"/>
      <c r="C84" s="279"/>
      <c r="D84" s="279"/>
      <c r="E84" s="280"/>
      <c r="F84" s="280"/>
      <c r="G84" s="280"/>
      <c r="H84" s="280"/>
      <c r="I84" s="280"/>
      <c r="J84" s="280"/>
      <c r="K84" s="280"/>
      <c r="L84" s="280"/>
      <c r="M84" s="280"/>
      <c r="N84" s="280"/>
      <c r="O84" s="280"/>
      <c r="P84" s="280"/>
      <c r="Q84" s="280"/>
      <c r="R84" s="280"/>
      <c r="S84" s="280"/>
      <c r="T84" s="280"/>
      <c r="U84" s="280"/>
      <c r="V84" s="280"/>
      <c r="W84" s="280"/>
      <c r="X84" s="280"/>
      <c r="Y84" s="280"/>
      <c r="Z84" s="281"/>
      <c r="AA84" s="282"/>
      <c r="AB84" s="282"/>
      <c r="AC84" s="280"/>
      <c r="AD84" s="280"/>
      <c r="AE84" s="280"/>
      <c r="AF84" s="280"/>
      <c r="AG84" s="280"/>
      <c r="AH84" s="280"/>
    </row>
    <row r="85" spans="1:45" x14ac:dyDescent="0.25">
      <c r="A85" s="263" t="s">
        <v>610</v>
      </c>
      <c r="B85" s="273"/>
      <c r="C85" s="283">
        <v>2012</v>
      </c>
      <c r="D85" s="275"/>
      <c r="E85" s="351">
        <v>2013</v>
      </c>
      <c r="F85" s="352"/>
      <c r="G85" s="353"/>
      <c r="H85" s="351">
        <v>2014</v>
      </c>
      <c r="I85" s="352"/>
      <c r="J85" s="353"/>
      <c r="K85" s="351">
        <v>2015</v>
      </c>
      <c r="L85" s="352"/>
      <c r="M85" s="353"/>
      <c r="N85" s="351">
        <v>2016</v>
      </c>
      <c r="O85" s="352"/>
      <c r="P85" s="353"/>
      <c r="Q85" s="351">
        <v>2017</v>
      </c>
      <c r="R85" s="352"/>
      <c r="S85" s="353"/>
      <c r="T85" s="351">
        <v>2018</v>
      </c>
      <c r="U85" s="352"/>
      <c r="V85" s="353"/>
      <c r="W85" s="351">
        <v>2019</v>
      </c>
      <c r="X85" s="352"/>
      <c r="Y85" s="353"/>
      <c r="Z85" s="354">
        <v>2020</v>
      </c>
      <c r="AA85" s="355"/>
      <c r="AB85" s="356"/>
      <c r="AC85" s="351">
        <v>2021</v>
      </c>
      <c r="AD85" s="352"/>
      <c r="AE85" s="353"/>
      <c r="AF85" s="351">
        <v>2022</v>
      </c>
      <c r="AG85" s="352"/>
      <c r="AH85" s="353"/>
    </row>
    <row r="86" spans="1:45" x14ac:dyDescent="0.25">
      <c r="A86" s="263" t="s">
        <v>581</v>
      </c>
      <c r="B86" s="264" t="s">
        <v>582</v>
      </c>
      <c r="C86" s="264" t="s">
        <v>583</v>
      </c>
      <c r="D86" s="264" t="s">
        <v>2</v>
      </c>
      <c r="E86" s="264" t="s">
        <v>582</v>
      </c>
      <c r="F86" s="264" t="s">
        <v>583</v>
      </c>
      <c r="G86" s="264" t="s">
        <v>2</v>
      </c>
      <c r="H86" s="264" t="s">
        <v>582</v>
      </c>
      <c r="I86" s="264" t="s">
        <v>583</v>
      </c>
      <c r="J86" s="264" t="s">
        <v>2</v>
      </c>
      <c r="K86" s="264" t="s">
        <v>582</v>
      </c>
      <c r="L86" s="264" t="s">
        <v>583</v>
      </c>
      <c r="M86" s="264" t="s">
        <v>2</v>
      </c>
      <c r="N86" s="264" t="s">
        <v>582</v>
      </c>
      <c r="O86" s="264" t="s">
        <v>583</v>
      </c>
      <c r="P86" s="264" t="s">
        <v>2</v>
      </c>
      <c r="Q86" s="264" t="s">
        <v>582</v>
      </c>
      <c r="R86" s="264" t="s">
        <v>583</v>
      </c>
      <c r="S86" s="264" t="s">
        <v>2</v>
      </c>
      <c r="T86" s="264" t="s">
        <v>582</v>
      </c>
      <c r="U86" s="264" t="s">
        <v>583</v>
      </c>
      <c r="V86" s="264" t="s">
        <v>2</v>
      </c>
      <c r="W86" s="264" t="s">
        <v>582</v>
      </c>
      <c r="X86" s="264" t="s">
        <v>583</v>
      </c>
      <c r="Y86" s="264" t="s">
        <v>2</v>
      </c>
      <c r="Z86" s="265" t="s">
        <v>582</v>
      </c>
      <c r="AA86" s="265" t="s">
        <v>583</v>
      </c>
      <c r="AB86" s="265" t="s">
        <v>2</v>
      </c>
      <c r="AC86" s="264" t="s">
        <v>582</v>
      </c>
      <c r="AD86" s="264" t="s">
        <v>583</v>
      </c>
      <c r="AE86" s="264" t="s">
        <v>2</v>
      </c>
      <c r="AF86" s="264" t="s">
        <v>582</v>
      </c>
      <c r="AG86" s="264" t="s">
        <v>583</v>
      </c>
      <c r="AH86" s="264" t="s">
        <v>2</v>
      </c>
      <c r="AI86" t="s">
        <v>3</v>
      </c>
      <c r="AJ86" t="s">
        <v>4</v>
      </c>
      <c r="AK86" t="s">
        <v>584</v>
      </c>
      <c r="AL86" t="s">
        <v>631</v>
      </c>
      <c r="AM86" t="s">
        <v>632</v>
      </c>
      <c r="AN86" t="s">
        <v>633</v>
      </c>
      <c r="AO86" t="s">
        <v>585</v>
      </c>
      <c r="AP86" t="s">
        <v>586</v>
      </c>
      <c r="AQ86" t="s">
        <v>587</v>
      </c>
      <c r="AS86" t="s">
        <v>588</v>
      </c>
    </row>
    <row r="87" spans="1:45" x14ac:dyDescent="0.25">
      <c r="A87" s="11" t="s">
        <v>589</v>
      </c>
      <c r="B87" s="11">
        <v>115918</v>
      </c>
      <c r="C87" s="11">
        <v>115540</v>
      </c>
      <c r="D87" s="11">
        <v>231458</v>
      </c>
      <c r="E87" s="266">
        <f>B87*1.01</f>
        <v>117077.18000000001</v>
      </c>
      <c r="F87" s="266">
        <f>C87*1.01</f>
        <v>116695.4</v>
      </c>
      <c r="G87" s="266">
        <f>D87*1.01</f>
        <v>233772.58000000002</v>
      </c>
      <c r="H87" s="266">
        <f>B87*1.01^2</f>
        <v>118247.9518</v>
      </c>
      <c r="I87" s="266">
        <f>C87*1.01^2</f>
        <v>117862.35400000001</v>
      </c>
      <c r="J87" s="266">
        <f>D87*1.01^2</f>
        <v>236110.3058</v>
      </c>
      <c r="K87" s="266">
        <f>B87*1.01^3</f>
        <v>119430.43131799999</v>
      </c>
      <c r="L87" s="266">
        <f>C87*1.01^3</f>
        <v>119040.97753999999</v>
      </c>
      <c r="M87" s="266">
        <f>D87*1.01^3</f>
        <v>238471.40885799998</v>
      </c>
      <c r="N87" s="266">
        <f>B87*1.01^4</f>
        <v>120624.73563118</v>
      </c>
      <c r="O87" s="266">
        <f>C87*1.01^4</f>
        <v>120231.3873154</v>
      </c>
      <c r="P87" s="266">
        <f>D87*1.01^4</f>
        <v>240856.12294658</v>
      </c>
      <c r="Q87" s="266">
        <f>B87*1.01^5</f>
        <v>121830.98298749179</v>
      </c>
      <c r="R87" s="266">
        <f>C87*1.01^5</f>
        <v>121433.701188554</v>
      </c>
      <c r="S87" s="266">
        <f>D87*1.01^5</f>
        <v>243264.68417604579</v>
      </c>
      <c r="T87" s="266">
        <f>B87*1.01^6</f>
        <v>123049.29281736673</v>
      </c>
      <c r="U87" s="266">
        <f>C87*1.01^6</f>
        <v>122648.03820043955</v>
      </c>
      <c r="V87" s="266">
        <f>D87*1.01^6</f>
        <v>245697.33101780628</v>
      </c>
      <c r="W87" s="266">
        <f>B87*1.01^7</f>
        <v>124279.78574554037</v>
      </c>
      <c r="X87" s="266">
        <f>P87*1.01^7</f>
        <v>258230.36418246079</v>
      </c>
      <c r="Y87" s="266">
        <f>C87*1.01^7</f>
        <v>123874.51858244391</v>
      </c>
      <c r="Z87" s="267">
        <f>B87*1.01^8</f>
        <v>125522.5836029958</v>
      </c>
      <c r="AA87" s="267">
        <f>C87*1.01^8</f>
        <v>125113.26376826839</v>
      </c>
      <c r="AB87" s="267">
        <f>D87*1.01^8</f>
        <v>250635.84737126419</v>
      </c>
      <c r="AC87" s="266">
        <f>B87*1.01^9</f>
        <v>126777.80943902578</v>
      </c>
      <c r="AD87" s="266">
        <f>C87*1.01^9</f>
        <v>126364.39640595108</v>
      </c>
      <c r="AE87" s="266">
        <f>D87*1.01^9</f>
        <v>253142.20584497685</v>
      </c>
      <c r="AF87" s="266">
        <f>B87*1.01^10</f>
        <v>128045.58753341604</v>
      </c>
      <c r="AG87" s="268">
        <f>C87*1.01^10</f>
        <v>127628.0403700106</v>
      </c>
      <c r="AH87" s="266">
        <f>D87*1.01^10</f>
        <v>255673.62790342662</v>
      </c>
      <c r="AI87" s="6">
        <f>Z104/AB104</f>
        <v>0.49776713175321113</v>
      </c>
      <c r="AJ87" s="6">
        <f>AA104/AB104</f>
        <v>0.50223286824678881</v>
      </c>
      <c r="AK87" s="6">
        <f>AB87/AB104</f>
        <v>0.15413516810774236</v>
      </c>
      <c r="AL87" s="6">
        <f>SUM(AB87:AB89)/AB104</f>
        <v>0.41065929880079061</v>
      </c>
      <c r="AM87" s="6">
        <f>SUM(Z87:Z89)/Z104</f>
        <v>0.41427071139502991</v>
      </c>
      <c r="AN87" s="6">
        <f>SUM(AA87:AA89)/AA104</f>
        <v>0.40707999803760636</v>
      </c>
      <c r="AO87" s="6">
        <f>SUM(AB87:AB90)/AB104</f>
        <v>0.5168327499773584</v>
      </c>
      <c r="AP87" s="6">
        <f>SUM(AA90:AA96)/AA104</f>
        <v>0.48793591989190926</v>
      </c>
      <c r="AQ87" s="6">
        <f>SUM(Z90:Z96)/Z104</f>
        <v>0.4970333455968427</v>
      </c>
      <c r="AR87" s="6"/>
      <c r="AS87" s="6">
        <f>SUM(AB100:AB102)/AB104</f>
        <v>3.5427554646337109E-2</v>
      </c>
    </row>
    <row r="88" spans="1:45" x14ac:dyDescent="0.25">
      <c r="A88" s="269" t="s">
        <v>590</v>
      </c>
      <c r="B88" s="11">
        <v>96023</v>
      </c>
      <c r="C88" s="11">
        <v>95846</v>
      </c>
      <c r="D88" s="11">
        <v>191869</v>
      </c>
      <c r="E88" s="266">
        <f t="shared" ref="E88:G104" si="48">B88*1.01</f>
        <v>96983.23</v>
      </c>
      <c r="F88" s="266">
        <f t="shared" si="48"/>
        <v>96804.46</v>
      </c>
      <c r="G88" s="266">
        <f t="shared" si="48"/>
        <v>193787.69</v>
      </c>
      <c r="H88" s="266">
        <f t="shared" ref="H88:J104" si="49">B88*1.01^2</f>
        <v>97953.062300000005</v>
      </c>
      <c r="I88" s="266">
        <f t="shared" si="49"/>
        <v>97772.5046</v>
      </c>
      <c r="J88" s="266">
        <f t="shared" si="49"/>
        <v>195725.56690000001</v>
      </c>
      <c r="K88" s="266">
        <f t="shared" ref="K88:M104" si="50">B88*1.01^3</f>
        <v>98932.592922999989</v>
      </c>
      <c r="L88" s="266">
        <f t="shared" si="50"/>
        <v>98750.229645999992</v>
      </c>
      <c r="M88" s="266">
        <f t="shared" si="50"/>
        <v>197682.82256899998</v>
      </c>
      <c r="N88" s="266">
        <f t="shared" ref="N88:P104" si="51">B88*1.01^4</f>
        <v>99921.918852229996</v>
      </c>
      <c r="O88" s="266">
        <f t="shared" si="51"/>
        <v>99737.731942459999</v>
      </c>
      <c r="P88" s="266">
        <f t="shared" si="51"/>
        <v>199659.65079469001</v>
      </c>
      <c r="Q88" s="266">
        <f t="shared" ref="Q88:S104" si="52">B88*1.01^5</f>
        <v>100921.1380407523</v>
      </c>
      <c r="R88" s="266">
        <f t="shared" si="52"/>
        <v>100735.10926188459</v>
      </c>
      <c r="S88" s="266">
        <f t="shared" si="52"/>
        <v>201656.24730263688</v>
      </c>
      <c r="T88" s="266">
        <f t="shared" ref="T88:V104" si="53">B88*1.01^6</f>
        <v>101930.34942115983</v>
      </c>
      <c r="U88" s="266">
        <f t="shared" si="53"/>
        <v>101742.46035450346</v>
      </c>
      <c r="V88" s="266">
        <f t="shared" si="53"/>
        <v>203672.80977566331</v>
      </c>
      <c r="W88" s="266">
        <f t="shared" ref="W88:W104" si="54">B88*1.01^7</f>
        <v>102949.65291537141</v>
      </c>
      <c r="X88" s="266">
        <f t="shared" ref="X88:X104" si="55">P88*1.01^7</f>
        <v>214062.17000632759</v>
      </c>
      <c r="Y88" s="266">
        <f t="shared" ref="Y88:Y104" si="56">C88*1.01^7</f>
        <v>102759.88495804847</v>
      </c>
      <c r="Z88" s="267">
        <f t="shared" ref="Z88:AB104" si="57">B88*1.01^8</f>
        <v>103979.14944452514</v>
      </c>
      <c r="AA88" s="267">
        <f t="shared" si="57"/>
        <v>103787.48380762897</v>
      </c>
      <c r="AB88" s="267">
        <f t="shared" si="57"/>
        <v>207766.63325215413</v>
      </c>
      <c r="AC88" s="266">
        <f t="shared" ref="AC88:AE104" si="58">B88*1.01^9</f>
        <v>105018.94093897041</v>
      </c>
      <c r="AD88" s="266">
        <f t="shared" si="58"/>
        <v>104825.35864570527</v>
      </c>
      <c r="AE88" s="266">
        <f t="shared" si="58"/>
        <v>209844.29958467567</v>
      </c>
      <c r="AF88" s="266">
        <f t="shared" ref="AF88:AH104" si="59">B88*1.01^10</f>
        <v>106069.13034836011</v>
      </c>
      <c r="AG88" s="268">
        <f t="shared" si="59"/>
        <v>105873.61223216233</v>
      </c>
      <c r="AH88" s="266">
        <f t="shared" si="59"/>
        <v>211942.74258052243</v>
      </c>
    </row>
    <row r="89" spans="1:45" x14ac:dyDescent="0.25">
      <c r="A89" s="269" t="s">
        <v>591</v>
      </c>
      <c r="B89" s="11">
        <v>97716</v>
      </c>
      <c r="C89" s="11">
        <v>95626</v>
      </c>
      <c r="D89" s="11">
        <v>193342</v>
      </c>
      <c r="E89" s="266">
        <f t="shared" si="48"/>
        <v>98693.16</v>
      </c>
      <c r="F89" s="266">
        <f t="shared" si="48"/>
        <v>96582.26</v>
      </c>
      <c r="G89" s="266">
        <f t="shared" si="48"/>
        <v>195275.42</v>
      </c>
      <c r="H89" s="266">
        <f t="shared" si="49"/>
        <v>99680.0916</v>
      </c>
      <c r="I89" s="266">
        <f t="shared" si="49"/>
        <v>97548.082599999994</v>
      </c>
      <c r="J89" s="266">
        <f t="shared" si="49"/>
        <v>197228.17420000001</v>
      </c>
      <c r="K89" s="266">
        <f t="shared" si="50"/>
        <v>100676.89251599999</v>
      </c>
      <c r="L89" s="266">
        <f t="shared" si="50"/>
        <v>98523.563425999993</v>
      </c>
      <c r="M89" s="266">
        <f t="shared" si="50"/>
        <v>199200.45594199997</v>
      </c>
      <c r="N89" s="266">
        <f t="shared" si="51"/>
        <v>101683.66144116</v>
      </c>
      <c r="O89" s="266">
        <f t="shared" si="51"/>
        <v>99508.799060260004</v>
      </c>
      <c r="P89" s="266">
        <f t="shared" si="51"/>
        <v>201192.46050141999</v>
      </c>
      <c r="Q89" s="266">
        <f t="shared" si="52"/>
        <v>102700.49805557159</v>
      </c>
      <c r="R89" s="266">
        <f t="shared" si="52"/>
        <v>100503.8870508626</v>
      </c>
      <c r="S89" s="266">
        <f t="shared" si="52"/>
        <v>203204.38510643417</v>
      </c>
      <c r="T89" s="266">
        <f t="shared" si="53"/>
        <v>103727.50303612732</v>
      </c>
      <c r="U89" s="266">
        <f t="shared" si="53"/>
        <v>101508.92592137124</v>
      </c>
      <c r="V89" s="266">
        <f t="shared" si="53"/>
        <v>205236.42895749857</v>
      </c>
      <c r="W89" s="266">
        <f t="shared" si="54"/>
        <v>104764.77806648858</v>
      </c>
      <c r="X89" s="266">
        <f t="shared" si="55"/>
        <v>215705.54948096559</v>
      </c>
      <c r="Y89" s="266">
        <f t="shared" si="56"/>
        <v>102524.01518058492</v>
      </c>
      <c r="Z89" s="267">
        <f t="shared" si="57"/>
        <v>105812.42584715348</v>
      </c>
      <c r="AA89" s="267">
        <f t="shared" si="57"/>
        <v>103549.25533239081</v>
      </c>
      <c r="AB89" s="267">
        <f t="shared" si="57"/>
        <v>209361.68117954428</v>
      </c>
      <c r="AC89" s="266">
        <f t="shared" si="58"/>
        <v>106870.55010562504</v>
      </c>
      <c r="AD89" s="266">
        <f t="shared" si="58"/>
        <v>104584.74788571472</v>
      </c>
      <c r="AE89" s="266">
        <f t="shared" si="58"/>
        <v>211455.29799133976</v>
      </c>
      <c r="AF89" s="266">
        <f t="shared" si="59"/>
        <v>107939.25560668128</v>
      </c>
      <c r="AG89" s="268">
        <f t="shared" si="59"/>
        <v>105630.59536457187</v>
      </c>
      <c r="AH89" s="266">
        <f t="shared" si="59"/>
        <v>213569.85097125315</v>
      </c>
    </row>
    <row r="90" spans="1:45" x14ac:dyDescent="0.25">
      <c r="A90" s="11" t="s">
        <v>592</v>
      </c>
      <c r="B90" s="11">
        <v>81121</v>
      </c>
      <c r="C90" s="11">
        <v>78315</v>
      </c>
      <c r="D90" s="11">
        <v>159436</v>
      </c>
      <c r="E90" s="266">
        <f t="shared" si="48"/>
        <v>81932.210000000006</v>
      </c>
      <c r="F90" s="266">
        <f t="shared" si="48"/>
        <v>79098.149999999994</v>
      </c>
      <c r="G90" s="266">
        <f t="shared" si="48"/>
        <v>161030.36000000002</v>
      </c>
      <c r="H90" s="266">
        <f t="shared" si="49"/>
        <v>82751.532099999997</v>
      </c>
      <c r="I90" s="266">
        <f t="shared" si="49"/>
        <v>79889.131500000003</v>
      </c>
      <c r="J90" s="266">
        <f t="shared" si="49"/>
        <v>162640.6636</v>
      </c>
      <c r="K90" s="266">
        <f t="shared" si="50"/>
        <v>83579.047420999996</v>
      </c>
      <c r="L90" s="266">
        <f t="shared" si="50"/>
        <v>80688.022814999989</v>
      </c>
      <c r="M90" s="266">
        <f t="shared" si="50"/>
        <v>164267.070236</v>
      </c>
      <c r="N90" s="266">
        <f t="shared" si="51"/>
        <v>84414.837895210003</v>
      </c>
      <c r="O90" s="266">
        <f t="shared" si="51"/>
        <v>81494.90304315</v>
      </c>
      <c r="P90" s="266">
        <f t="shared" si="51"/>
        <v>165909.74093836002</v>
      </c>
      <c r="Q90" s="266">
        <f t="shared" si="52"/>
        <v>85258.986274162089</v>
      </c>
      <c r="R90" s="266">
        <f t="shared" si="52"/>
        <v>82309.852073581496</v>
      </c>
      <c r="S90" s="266">
        <f t="shared" si="52"/>
        <v>167568.83834774359</v>
      </c>
      <c r="T90" s="266">
        <f t="shared" si="53"/>
        <v>86111.576136903735</v>
      </c>
      <c r="U90" s="266">
        <f t="shared" si="53"/>
        <v>83132.950594317328</v>
      </c>
      <c r="V90" s="266">
        <f t="shared" si="53"/>
        <v>169244.52673122106</v>
      </c>
      <c r="W90" s="266">
        <f t="shared" si="54"/>
        <v>86972.691898272751</v>
      </c>
      <c r="X90" s="266">
        <f t="shared" si="55"/>
        <v>177877.6985189314</v>
      </c>
      <c r="Y90" s="266">
        <f t="shared" si="56"/>
        <v>83964.280100260468</v>
      </c>
      <c r="Z90" s="267">
        <f t="shared" si="57"/>
        <v>87842.4188172555</v>
      </c>
      <c r="AA90" s="267">
        <f t="shared" si="57"/>
        <v>84803.922901263097</v>
      </c>
      <c r="AB90" s="267">
        <f t="shared" si="57"/>
        <v>172646.34171851861</v>
      </c>
      <c r="AC90" s="266">
        <f t="shared" si="58"/>
        <v>88720.843005428062</v>
      </c>
      <c r="AD90" s="266">
        <f t="shared" si="58"/>
        <v>85651.962130275744</v>
      </c>
      <c r="AE90" s="266">
        <f t="shared" si="58"/>
        <v>174372.80513570379</v>
      </c>
      <c r="AF90" s="266">
        <f t="shared" si="59"/>
        <v>89608.051435482339</v>
      </c>
      <c r="AG90" s="268">
        <f t="shared" si="59"/>
        <v>86508.481751578496</v>
      </c>
      <c r="AH90" s="266">
        <f t="shared" si="59"/>
        <v>176116.53318706085</v>
      </c>
    </row>
    <row r="91" spans="1:45" x14ac:dyDescent="0.25">
      <c r="A91" s="11" t="s">
        <v>593</v>
      </c>
      <c r="B91" s="11">
        <v>69100</v>
      </c>
      <c r="C91" s="11">
        <v>73847</v>
      </c>
      <c r="D91" s="11">
        <v>142947</v>
      </c>
      <c r="E91" s="266">
        <f t="shared" si="48"/>
        <v>69791</v>
      </c>
      <c r="F91" s="266">
        <f t="shared" si="48"/>
        <v>74585.47</v>
      </c>
      <c r="G91" s="266">
        <f t="shared" si="48"/>
        <v>144376.47</v>
      </c>
      <c r="H91" s="266">
        <f t="shared" si="49"/>
        <v>70488.91</v>
      </c>
      <c r="I91" s="266">
        <f t="shared" si="49"/>
        <v>75331.324699999997</v>
      </c>
      <c r="J91" s="266">
        <f t="shared" si="49"/>
        <v>145820.2347</v>
      </c>
      <c r="K91" s="266">
        <f t="shared" si="50"/>
        <v>71193.799099999989</v>
      </c>
      <c r="L91" s="266">
        <f t="shared" si="50"/>
        <v>76084.637946999996</v>
      </c>
      <c r="M91" s="266">
        <f t="shared" si="50"/>
        <v>147278.43704699998</v>
      </c>
      <c r="N91" s="266">
        <f t="shared" si="51"/>
        <v>71905.737091000003</v>
      </c>
      <c r="O91" s="266">
        <f t="shared" si="51"/>
        <v>76845.484326470003</v>
      </c>
      <c r="P91" s="266">
        <f t="shared" si="51"/>
        <v>148751.22141746999</v>
      </c>
      <c r="Q91" s="266">
        <f t="shared" si="52"/>
        <v>72624.794461910002</v>
      </c>
      <c r="R91" s="266">
        <f t="shared" si="52"/>
        <v>77613.939169734687</v>
      </c>
      <c r="S91" s="266">
        <f t="shared" si="52"/>
        <v>150238.73363164469</v>
      </c>
      <c r="T91" s="266">
        <f t="shared" si="53"/>
        <v>73351.042406529115</v>
      </c>
      <c r="U91" s="266">
        <f t="shared" si="53"/>
        <v>78390.078561432063</v>
      </c>
      <c r="V91" s="266">
        <f t="shared" si="53"/>
        <v>151741.12096796118</v>
      </c>
      <c r="W91" s="266">
        <f t="shared" si="54"/>
        <v>74084.552830594374</v>
      </c>
      <c r="X91" s="266">
        <f t="shared" si="55"/>
        <v>159481.44315076698</v>
      </c>
      <c r="Y91" s="266">
        <f t="shared" si="56"/>
        <v>79173.979347046348</v>
      </c>
      <c r="Z91" s="267">
        <f t="shared" si="57"/>
        <v>74825.398358900347</v>
      </c>
      <c r="AA91" s="267">
        <f t="shared" si="57"/>
        <v>79965.719140516841</v>
      </c>
      <c r="AB91" s="267">
        <f t="shared" si="57"/>
        <v>154791.11749941719</v>
      </c>
      <c r="AC91" s="266">
        <f t="shared" si="58"/>
        <v>75573.652342489353</v>
      </c>
      <c r="AD91" s="266">
        <f t="shared" si="58"/>
        <v>80765.376331922016</v>
      </c>
      <c r="AE91" s="266">
        <f t="shared" si="58"/>
        <v>156339.02867441135</v>
      </c>
      <c r="AF91" s="266">
        <f t="shared" si="59"/>
        <v>76329.388865914254</v>
      </c>
      <c r="AG91" s="268">
        <f t="shared" si="59"/>
        <v>81573.030095241236</v>
      </c>
      <c r="AH91" s="266">
        <f t="shared" si="59"/>
        <v>157902.41896115549</v>
      </c>
    </row>
    <row r="92" spans="1:45" x14ac:dyDescent="0.25">
      <c r="A92" s="11" t="s">
        <v>594</v>
      </c>
      <c r="B92" s="11">
        <v>66651</v>
      </c>
      <c r="C92" s="11">
        <v>70637</v>
      </c>
      <c r="D92" s="11">
        <v>137288</v>
      </c>
      <c r="E92" s="266">
        <f t="shared" si="48"/>
        <v>67317.509999999995</v>
      </c>
      <c r="F92" s="266">
        <f t="shared" si="48"/>
        <v>71343.37</v>
      </c>
      <c r="G92" s="266">
        <f t="shared" si="48"/>
        <v>138660.88</v>
      </c>
      <c r="H92" s="266">
        <f t="shared" si="49"/>
        <v>67990.685100000002</v>
      </c>
      <c r="I92" s="266">
        <f t="shared" si="49"/>
        <v>72056.803700000004</v>
      </c>
      <c r="J92" s="266">
        <f t="shared" si="49"/>
        <v>140047.48879999999</v>
      </c>
      <c r="K92" s="266">
        <f t="shared" si="50"/>
        <v>68670.591950999995</v>
      </c>
      <c r="L92" s="266">
        <f t="shared" si="50"/>
        <v>72777.371736999994</v>
      </c>
      <c r="M92" s="266">
        <f t="shared" si="50"/>
        <v>141447.96368799999</v>
      </c>
      <c r="N92" s="266">
        <f t="shared" si="51"/>
        <v>69357.297870509996</v>
      </c>
      <c r="O92" s="266">
        <f t="shared" si="51"/>
        <v>73505.145454369995</v>
      </c>
      <c r="P92" s="266">
        <f t="shared" si="51"/>
        <v>142862.44332488001</v>
      </c>
      <c r="Q92" s="266">
        <f t="shared" si="52"/>
        <v>70050.870849215091</v>
      </c>
      <c r="R92" s="266">
        <f t="shared" si="52"/>
        <v>74240.196908913698</v>
      </c>
      <c r="S92" s="266">
        <f t="shared" si="52"/>
        <v>144291.0677581288</v>
      </c>
      <c r="T92" s="266">
        <f t="shared" si="53"/>
        <v>70751.37955770726</v>
      </c>
      <c r="U92" s="266">
        <f t="shared" si="53"/>
        <v>74982.598878002842</v>
      </c>
      <c r="V92" s="266">
        <f t="shared" si="53"/>
        <v>145733.9784357101</v>
      </c>
      <c r="W92" s="266">
        <f t="shared" si="54"/>
        <v>71458.893353284308</v>
      </c>
      <c r="X92" s="266">
        <f t="shared" si="55"/>
        <v>153167.87597698797</v>
      </c>
      <c r="Y92" s="266">
        <f t="shared" si="56"/>
        <v>75732.424866782851</v>
      </c>
      <c r="Z92" s="267">
        <f t="shared" si="57"/>
        <v>72173.482286817176</v>
      </c>
      <c r="AA92" s="267">
        <f t="shared" si="57"/>
        <v>76489.749115450701</v>
      </c>
      <c r="AB92" s="267">
        <f t="shared" si="57"/>
        <v>148663.23140226788</v>
      </c>
      <c r="AC92" s="266">
        <f t="shared" si="58"/>
        <v>72895.217109685356</v>
      </c>
      <c r="AD92" s="266">
        <f t="shared" si="58"/>
        <v>77254.646606605209</v>
      </c>
      <c r="AE92" s="266">
        <f t="shared" si="58"/>
        <v>150149.86371629057</v>
      </c>
      <c r="AF92" s="266">
        <f t="shared" si="59"/>
        <v>73624.169280782211</v>
      </c>
      <c r="AG92" s="268">
        <f t="shared" si="59"/>
        <v>78027.193072671274</v>
      </c>
      <c r="AH92" s="266">
        <f t="shared" si="59"/>
        <v>151651.36235345347</v>
      </c>
    </row>
    <row r="93" spans="1:45" x14ac:dyDescent="0.25">
      <c r="A93" s="11" t="s">
        <v>595</v>
      </c>
      <c r="B93" s="11">
        <v>56472</v>
      </c>
      <c r="C93" s="11">
        <v>54813</v>
      </c>
      <c r="D93" s="11">
        <v>111285</v>
      </c>
      <c r="E93" s="266">
        <f t="shared" si="48"/>
        <v>57036.72</v>
      </c>
      <c r="F93" s="266">
        <f t="shared" si="48"/>
        <v>55361.13</v>
      </c>
      <c r="G93" s="266">
        <f t="shared" si="48"/>
        <v>112397.85</v>
      </c>
      <c r="H93" s="266">
        <f t="shared" si="49"/>
        <v>57607.087200000002</v>
      </c>
      <c r="I93" s="266">
        <f t="shared" si="49"/>
        <v>55914.741300000002</v>
      </c>
      <c r="J93" s="266">
        <f t="shared" si="49"/>
        <v>113521.8285</v>
      </c>
      <c r="K93" s="266">
        <f t="shared" si="50"/>
        <v>58183.158071999998</v>
      </c>
      <c r="L93" s="266">
        <f t="shared" si="50"/>
        <v>56473.888712999993</v>
      </c>
      <c r="M93" s="266">
        <f t="shared" si="50"/>
        <v>114657.04678499998</v>
      </c>
      <c r="N93" s="266">
        <f t="shared" si="51"/>
        <v>58764.989652720004</v>
      </c>
      <c r="O93" s="266">
        <f t="shared" si="51"/>
        <v>57038.627600129999</v>
      </c>
      <c r="P93" s="266">
        <f t="shared" si="51"/>
        <v>115803.61725285</v>
      </c>
      <c r="Q93" s="266">
        <f t="shared" si="52"/>
        <v>59352.639549247193</v>
      </c>
      <c r="R93" s="266">
        <f t="shared" si="52"/>
        <v>57609.013876131299</v>
      </c>
      <c r="S93" s="266">
        <f t="shared" si="52"/>
        <v>116961.65342537849</v>
      </c>
      <c r="T93" s="266">
        <f t="shared" si="53"/>
        <v>59946.165944739681</v>
      </c>
      <c r="U93" s="266">
        <f t="shared" si="53"/>
        <v>58185.104014892619</v>
      </c>
      <c r="V93" s="266">
        <f t="shared" si="53"/>
        <v>118131.26995963229</v>
      </c>
      <c r="W93" s="266">
        <f t="shared" si="54"/>
        <v>60545.627604187059</v>
      </c>
      <c r="X93" s="266">
        <f t="shared" si="55"/>
        <v>124157.15195864973</v>
      </c>
      <c r="Y93" s="266">
        <f t="shared" si="56"/>
        <v>58766.95505504153</v>
      </c>
      <c r="Z93" s="267">
        <f t="shared" si="57"/>
        <v>61151.083880228944</v>
      </c>
      <c r="AA93" s="267">
        <f t="shared" si="57"/>
        <v>59354.624605591962</v>
      </c>
      <c r="AB93" s="267">
        <f t="shared" si="57"/>
        <v>120505.70848582091</v>
      </c>
      <c r="AC93" s="266">
        <f t="shared" si="58"/>
        <v>61762.594719031244</v>
      </c>
      <c r="AD93" s="266">
        <f t="shared" si="58"/>
        <v>59948.170851647883</v>
      </c>
      <c r="AE93" s="266">
        <f t="shared" si="58"/>
        <v>121710.76557067913</v>
      </c>
      <c r="AF93" s="266">
        <f t="shared" si="59"/>
        <v>62380.220666221554</v>
      </c>
      <c r="AG93" s="268">
        <f t="shared" si="59"/>
        <v>60547.652560164366</v>
      </c>
      <c r="AH93" s="266">
        <f t="shared" si="59"/>
        <v>122927.87322638593</v>
      </c>
    </row>
    <row r="94" spans="1:45" x14ac:dyDescent="0.25">
      <c r="A94" s="11" t="s">
        <v>596</v>
      </c>
      <c r="B94" s="11">
        <v>45855</v>
      </c>
      <c r="C94" s="11">
        <v>42613</v>
      </c>
      <c r="D94" s="11">
        <v>88468</v>
      </c>
      <c r="E94" s="266">
        <f t="shared" si="48"/>
        <v>46313.55</v>
      </c>
      <c r="F94" s="266">
        <f t="shared" si="48"/>
        <v>43039.13</v>
      </c>
      <c r="G94" s="266">
        <f t="shared" si="48"/>
        <v>89352.680000000008</v>
      </c>
      <c r="H94" s="266">
        <f t="shared" si="49"/>
        <v>46776.6855</v>
      </c>
      <c r="I94" s="266">
        <f t="shared" si="49"/>
        <v>43469.5213</v>
      </c>
      <c r="J94" s="266">
        <f t="shared" si="49"/>
        <v>90246.2068</v>
      </c>
      <c r="K94" s="266">
        <f t="shared" si="50"/>
        <v>47244.452354999994</v>
      </c>
      <c r="L94" s="266">
        <f t="shared" si="50"/>
        <v>43904.216512999999</v>
      </c>
      <c r="M94" s="266">
        <f t="shared" si="50"/>
        <v>91148.668867999993</v>
      </c>
      <c r="N94" s="266">
        <f t="shared" si="51"/>
        <v>47716.896878550004</v>
      </c>
      <c r="O94" s="266">
        <f t="shared" si="51"/>
        <v>44343.258678129998</v>
      </c>
      <c r="P94" s="266">
        <f t="shared" si="51"/>
        <v>92060.155556680009</v>
      </c>
      <c r="Q94" s="266">
        <f t="shared" si="52"/>
        <v>48194.0658473355</v>
      </c>
      <c r="R94" s="266">
        <f t="shared" si="52"/>
        <v>44786.6912649113</v>
      </c>
      <c r="S94" s="266">
        <f t="shared" si="52"/>
        <v>92980.757112246793</v>
      </c>
      <c r="T94" s="266">
        <f t="shared" si="53"/>
        <v>48676.006505808858</v>
      </c>
      <c r="U94" s="266">
        <f t="shared" si="53"/>
        <v>45234.558177560422</v>
      </c>
      <c r="V94" s="266">
        <f t="shared" si="53"/>
        <v>93910.564683369274</v>
      </c>
      <c r="W94" s="266">
        <f t="shared" si="54"/>
        <v>49162.766570866937</v>
      </c>
      <c r="X94" s="266">
        <f t="shared" si="55"/>
        <v>98700.947292787212</v>
      </c>
      <c r="Y94" s="266">
        <f t="shared" si="56"/>
        <v>45686.903759336012</v>
      </c>
      <c r="Z94" s="267">
        <f t="shared" si="57"/>
        <v>49654.394236575616</v>
      </c>
      <c r="AA94" s="267">
        <f t="shared" si="57"/>
        <v>46143.772796929385</v>
      </c>
      <c r="AB94" s="267">
        <f t="shared" si="57"/>
        <v>95798.167033505</v>
      </c>
      <c r="AC94" s="266">
        <f t="shared" si="58"/>
        <v>50150.938178941382</v>
      </c>
      <c r="AD94" s="266">
        <f t="shared" si="58"/>
        <v>46605.210524898677</v>
      </c>
      <c r="AE94" s="266">
        <f t="shared" si="58"/>
        <v>96756.148703840052</v>
      </c>
      <c r="AF94" s="266">
        <f t="shared" si="59"/>
        <v>50652.44756073079</v>
      </c>
      <c r="AG94" s="268">
        <f t="shared" si="59"/>
        <v>47071.26263014767</v>
      </c>
      <c r="AH94" s="266">
        <f t="shared" si="59"/>
        <v>97723.710190878468</v>
      </c>
    </row>
    <row r="95" spans="1:45" x14ac:dyDescent="0.25">
      <c r="A95" s="11" t="s">
        <v>597</v>
      </c>
      <c r="B95" s="11">
        <v>33032</v>
      </c>
      <c r="C95" s="11">
        <v>27731</v>
      </c>
      <c r="D95" s="11">
        <v>60763</v>
      </c>
      <c r="E95" s="266">
        <f t="shared" si="48"/>
        <v>33362.32</v>
      </c>
      <c r="F95" s="266">
        <f t="shared" si="48"/>
        <v>28008.31</v>
      </c>
      <c r="G95" s="266">
        <f t="shared" si="48"/>
        <v>61370.63</v>
      </c>
      <c r="H95" s="266">
        <f t="shared" si="49"/>
        <v>33695.943200000002</v>
      </c>
      <c r="I95" s="266">
        <f t="shared" si="49"/>
        <v>28288.393100000001</v>
      </c>
      <c r="J95" s="266">
        <f t="shared" si="49"/>
        <v>61984.336300000003</v>
      </c>
      <c r="K95" s="266">
        <f t="shared" si="50"/>
        <v>34032.902631999998</v>
      </c>
      <c r="L95" s="266">
        <f t="shared" si="50"/>
        <v>28571.277030999998</v>
      </c>
      <c r="M95" s="266">
        <f t="shared" si="50"/>
        <v>62604.179662999995</v>
      </c>
      <c r="N95" s="266">
        <f t="shared" si="51"/>
        <v>34373.231658320001</v>
      </c>
      <c r="O95" s="266">
        <f t="shared" si="51"/>
        <v>28856.989801309999</v>
      </c>
      <c r="P95" s="266">
        <f t="shared" si="51"/>
        <v>63230.221459630004</v>
      </c>
      <c r="Q95" s="266">
        <f t="shared" si="52"/>
        <v>34716.963974903199</v>
      </c>
      <c r="R95" s="266">
        <f t="shared" si="52"/>
        <v>29145.559699323097</v>
      </c>
      <c r="S95" s="266">
        <f t="shared" si="52"/>
        <v>63862.523674226293</v>
      </c>
      <c r="T95" s="266">
        <f t="shared" si="53"/>
        <v>35064.133614652237</v>
      </c>
      <c r="U95" s="266">
        <f t="shared" si="53"/>
        <v>29437.015296316335</v>
      </c>
      <c r="V95" s="266">
        <f t="shared" si="53"/>
        <v>64501.148910968572</v>
      </c>
      <c r="W95" s="266">
        <f t="shared" si="54"/>
        <v>35414.774950798746</v>
      </c>
      <c r="X95" s="266">
        <f t="shared" si="55"/>
        <v>67791.355748424627</v>
      </c>
      <c r="Y95" s="266">
        <f t="shared" si="56"/>
        <v>29731.385449279489</v>
      </c>
      <c r="Z95" s="267">
        <f t="shared" si="57"/>
        <v>35768.922700306743</v>
      </c>
      <c r="AA95" s="267">
        <f t="shared" si="57"/>
        <v>30028.699303772293</v>
      </c>
      <c r="AB95" s="267">
        <f t="shared" si="57"/>
        <v>65797.622004079036</v>
      </c>
      <c r="AC95" s="266">
        <f t="shared" si="58"/>
        <v>36126.611927309816</v>
      </c>
      <c r="AD95" s="266">
        <f t="shared" si="58"/>
        <v>30328.986296810017</v>
      </c>
      <c r="AE95" s="266">
        <f t="shared" si="58"/>
        <v>66455.598224119836</v>
      </c>
      <c r="AF95" s="266">
        <f t="shared" si="59"/>
        <v>36487.878046582919</v>
      </c>
      <c r="AG95" s="268">
        <f t="shared" si="59"/>
        <v>30632.276159778117</v>
      </c>
      <c r="AH95" s="266">
        <f t="shared" si="59"/>
        <v>67120.15420636104</v>
      </c>
    </row>
    <row r="96" spans="1:45" x14ac:dyDescent="0.25">
      <c r="A96" s="11" t="s">
        <v>598</v>
      </c>
      <c r="B96" s="11">
        <v>19289</v>
      </c>
      <c r="C96" s="11">
        <v>20036</v>
      </c>
      <c r="D96" s="11">
        <v>39325</v>
      </c>
      <c r="E96" s="266">
        <f t="shared" si="48"/>
        <v>19481.89</v>
      </c>
      <c r="F96" s="266">
        <f t="shared" si="48"/>
        <v>20236.36</v>
      </c>
      <c r="G96" s="266">
        <f t="shared" si="48"/>
        <v>39718.25</v>
      </c>
      <c r="H96" s="266">
        <f t="shared" si="49"/>
        <v>19676.708900000001</v>
      </c>
      <c r="I96" s="266">
        <f t="shared" si="49"/>
        <v>20438.723600000001</v>
      </c>
      <c r="J96" s="266">
        <f t="shared" si="49"/>
        <v>40115.432500000003</v>
      </c>
      <c r="K96" s="266">
        <f t="shared" si="50"/>
        <v>19873.475988999999</v>
      </c>
      <c r="L96" s="266">
        <f t="shared" si="50"/>
        <v>20643.110836</v>
      </c>
      <c r="M96" s="266">
        <f t="shared" si="50"/>
        <v>40516.586824999998</v>
      </c>
      <c r="N96" s="266">
        <f t="shared" si="51"/>
        <v>20072.21074889</v>
      </c>
      <c r="O96" s="266">
        <f t="shared" si="51"/>
        <v>20849.54194436</v>
      </c>
      <c r="P96" s="266">
        <f t="shared" si="51"/>
        <v>40921.752693250004</v>
      </c>
      <c r="Q96" s="266">
        <f t="shared" si="52"/>
        <v>20272.932856378899</v>
      </c>
      <c r="R96" s="266">
        <f t="shared" si="52"/>
        <v>21058.0373638036</v>
      </c>
      <c r="S96" s="266">
        <f t="shared" si="52"/>
        <v>41330.970220182498</v>
      </c>
      <c r="T96" s="266">
        <f t="shared" si="53"/>
        <v>20475.662184942692</v>
      </c>
      <c r="U96" s="266">
        <f t="shared" si="53"/>
        <v>21268.61773744164</v>
      </c>
      <c r="V96" s="266">
        <f t="shared" si="53"/>
        <v>41744.279922384332</v>
      </c>
      <c r="W96" s="266">
        <f t="shared" si="54"/>
        <v>20680.418806792113</v>
      </c>
      <c r="X96" s="266">
        <f t="shared" si="55"/>
        <v>43873.657732613574</v>
      </c>
      <c r="Y96" s="266">
        <f t="shared" si="56"/>
        <v>21481.30391481605</v>
      </c>
      <c r="Z96" s="267">
        <f t="shared" si="57"/>
        <v>20887.22299486004</v>
      </c>
      <c r="AA96" s="267">
        <f t="shared" si="57"/>
        <v>21696.116953964214</v>
      </c>
      <c r="AB96" s="267">
        <f t="shared" si="57"/>
        <v>42583.339948824258</v>
      </c>
      <c r="AC96" s="266">
        <f t="shared" si="58"/>
        <v>21096.095224808643</v>
      </c>
      <c r="AD96" s="266">
        <f t="shared" si="58"/>
        <v>21913.078123503859</v>
      </c>
      <c r="AE96" s="266">
        <f t="shared" si="58"/>
        <v>43009.173348312499</v>
      </c>
      <c r="AF96" s="266">
        <f t="shared" si="59"/>
        <v>21307.056177056729</v>
      </c>
      <c r="AG96" s="268">
        <f t="shared" si="59"/>
        <v>22132.208904738898</v>
      </c>
      <c r="AH96" s="266">
        <f t="shared" si="59"/>
        <v>43439.265081795624</v>
      </c>
    </row>
    <row r="97" spans="1:45" x14ac:dyDescent="0.25">
      <c r="A97" s="11" t="s">
        <v>599</v>
      </c>
      <c r="B97" s="11">
        <v>15683</v>
      </c>
      <c r="C97" s="11">
        <v>21977</v>
      </c>
      <c r="D97" s="11">
        <v>37660</v>
      </c>
      <c r="E97" s="266">
        <f t="shared" si="48"/>
        <v>15839.83</v>
      </c>
      <c r="F97" s="266">
        <f t="shared" si="48"/>
        <v>22196.77</v>
      </c>
      <c r="G97" s="266">
        <f t="shared" si="48"/>
        <v>38036.6</v>
      </c>
      <c r="H97" s="266">
        <f t="shared" si="49"/>
        <v>15998.228300000001</v>
      </c>
      <c r="I97" s="266">
        <f t="shared" si="49"/>
        <v>22418.737700000001</v>
      </c>
      <c r="J97" s="266">
        <f t="shared" si="49"/>
        <v>38416.966</v>
      </c>
      <c r="K97" s="266">
        <f t="shared" si="50"/>
        <v>16158.210582999998</v>
      </c>
      <c r="L97" s="266">
        <f t="shared" si="50"/>
        <v>22642.925076999996</v>
      </c>
      <c r="M97" s="266">
        <f t="shared" si="50"/>
        <v>38801.13566</v>
      </c>
      <c r="N97" s="266">
        <f t="shared" si="51"/>
        <v>16319.792688830001</v>
      </c>
      <c r="O97" s="266">
        <f t="shared" si="51"/>
        <v>22869.354327770001</v>
      </c>
      <c r="P97" s="266">
        <f t="shared" si="51"/>
        <v>39189.1470166</v>
      </c>
      <c r="Q97" s="266">
        <f t="shared" si="52"/>
        <v>16482.9906157183</v>
      </c>
      <c r="R97" s="266">
        <f t="shared" si="52"/>
        <v>23098.0478710477</v>
      </c>
      <c r="S97" s="266">
        <f t="shared" si="52"/>
        <v>39581.038486765996</v>
      </c>
      <c r="T97" s="266">
        <f t="shared" si="53"/>
        <v>16647.820521875485</v>
      </c>
      <c r="U97" s="266">
        <f t="shared" si="53"/>
        <v>23329.02834975818</v>
      </c>
      <c r="V97" s="266">
        <f t="shared" si="53"/>
        <v>39976.848871633665</v>
      </c>
      <c r="W97" s="266">
        <f t="shared" si="54"/>
        <v>16814.298727094236</v>
      </c>
      <c r="X97" s="266">
        <f t="shared" si="55"/>
        <v>42016.069935415813</v>
      </c>
      <c r="Y97" s="266">
        <f t="shared" si="56"/>
        <v>23562.318633255756</v>
      </c>
      <c r="Z97" s="267">
        <f t="shared" si="57"/>
        <v>16982.441714365181</v>
      </c>
      <c r="AA97" s="267">
        <f t="shared" si="57"/>
        <v>23797.941819588319</v>
      </c>
      <c r="AB97" s="267">
        <f t="shared" si="57"/>
        <v>40780.3835339535</v>
      </c>
      <c r="AC97" s="266">
        <f t="shared" si="58"/>
        <v>17152.266131508833</v>
      </c>
      <c r="AD97" s="266">
        <f t="shared" si="58"/>
        <v>24035.921237784205</v>
      </c>
      <c r="AE97" s="266">
        <f t="shared" si="58"/>
        <v>41188.187369293039</v>
      </c>
      <c r="AF97" s="266">
        <f t="shared" si="59"/>
        <v>17323.788792823925</v>
      </c>
      <c r="AG97" s="268">
        <f t="shared" si="59"/>
        <v>24276.280450162049</v>
      </c>
      <c r="AH97" s="266">
        <f t="shared" si="59"/>
        <v>41600.06924298597</v>
      </c>
    </row>
    <row r="98" spans="1:45" x14ac:dyDescent="0.25">
      <c r="A98" s="11" t="s">
        <v>600</v>
      </c>
      <c r="B98" s="11">
        <v>13454</v>
      </c>
      <c r="C98" s="11">
        <v>15808</v>
      </c>
      <c r="D98" s="11">
        <v>29262</v>
      </c>
      <c r="E98" s="266">
        <f t="shared" si="48"/>
        <v>13588.54</v>
      </c>
      <c r="F98" s="266">
        <f t="shared" si="48"/>
        <v>15966.08</v>
      </c>
      <c r="G98" s="266">
        <f t="shared" si="48"/>
        <v>29554.62</v>
      </c>
      <c r="H98" s="266">
        <f t="shared" si="49"/>
        <v>13724.4254</v>
      </c>
      <c r="I98" s="266">
        <f t="shared" si="49"/>
        <v>16125.7408</v>
      </c>
      <c r="J98" s="266">
        <f t="shared" si="49"/>
        <v>29850.1662</v>
      </c>
      <c r="K98" s="266">
        <f t="shared" si="50"/>
        <v>13861.669653999999</v>
      </c>
      <c r="L98" s="266">
        <f t="shared" si="50"/>
        <v>16286.998207999999</v>
      </c>
      <c r="M98" s="266">
        <f t="shared" si="50"/>
        <v>30148.667861999998</v>
      </c>
      <c r="N98" s="266">
        <f t="shared" si="51"/>
        <v>14000.28635054</v>
      </c>
      <c r="O98" s="266">
        <f t="shared" si="51"/>
        <v>16449.86819008</v>
      </c>
      <c r="P98" s="266">
        <f t="shared" si="51"/>
        <v>30450.154540620002</v>
      </c>
      <c r="Q98" s="266">
        <f t="shared" si="52"/>
        <v>14140.289214045399</v>
      </c>
      <c r="R98" s="266">
        <f t="shared" si="52"/>
        <v>16614.366871980797</v>
      </c>
      <c r="S98" s="266">
        <f t="shared" si="52"/>
        <v>30754.656086026196</v>
      </c>
      <c r="T98" s="266">
        <f t="shared" si="53"/>
        <v>14281.692106185856</v>
      </c>
      <c r="U98" s="266">
        <f t="shared" si="53"/>
        <v>16780.510540700609</v>
      </c>
      <c r="V98" s="266">
        <f t="shared" si="53"/>
        <v>31062.202646886464</v>
      </c>
      <c r="W98" s="266">
        <f t="shared" si="54"/>
        <v>14424.50902724771</v>
      </c>
      <c r="X98" s="266">
        <f t="shared" si="55"/>
        <v>32646.687160120491</v>
      </c>
      <c r="Y98" s="266">
        <f t="shared" si="56"/>
        <v>16948.315646107611</v>
      </c>
      <c r="Z98" s="267">
        <f t="shared" si="57"/>
        <v>14568.754117520191</v>
      </c>
      <c r="AA98" s="267">
        <f t="shared" si="57"/>
        <v>17117.798802568694</v>
      </c>
      <c r="AB98" s="267">
        <f t="shared" si="57"/>
        <v>31686.552920088885</v>
      </c>
      <c r="AC98" s="266">
        <f t="shared" si="58"/>
        <v>14714.441658695394</v>
      </c>
      <c r="AD98" s="266">
        <f t="shared" si="58"/>
        <v>17288.976790594381</v>
      </c>
      <c r="AE98" s="266">
        <f t="shared" si="58"/>
        <v>32003.418449289773</v>
      </c>
      <c r="AF98" s="266">
        <f t="shared" si="59"/>
        <v>14861.586075282348</v>
      </c>
      <c r="AG98" s="268">
        <f t="shared" si="59"/>
        <v>17461.866558500325</v>
      </c>
      <c r="AH98" s="266">
        <f t="shared" si="59"/>
        <v>32323.452633782672</v>
      </c>
    </row>
    <row r="99" spans="1:45" x14ac:dyDescent="0.25">
      <c r="A99" s="11" t="s">
        <v>601</v>
      </c>
      <c r="B99" s="11">
        <v>11194</v>
      </c>
      <c r="C99" s="11">
        <v>13097</v>
      </c>
      <c r="D99" s="11">
        <v>24291</v>
      </c>
      <c r="E99" s="266">
        <f t="shared" si="48"/>
        <v>11305.94</v>
      </c>
      <c r="F99" s="266">
        <f t="shared" si="48"/>
        <v>13227.97</v>
      </c>
      <c r="G99" s="266">
        <f t="shared" si="48"/>
        <v>24533.91</v>
      </c>
      <c r="H99" s="266">
        <f t="shared" si="49"/>
        <v>11418.999400000001</v>
      </c>
      <c r="I99" s="266">
        <f t="shared" si="49"/>
        <v>13360.2497</v>
      </c>
      <c r="J99" s="266">
        <f t="shared" si="49"/>
        <v>24779.249100000001</v>
      </c>
      <c r="K99" s="266">
        <f t="shared" si="50"/>
        <v>11533.189393999999</v>
      </c>
      <c r="L99" s="266">
        <f t="shared" si="50"/>
        <v>13493.852196999998</v>
      </c>
      <c r="M99" s="266">
        <f t="shared" si="50"/>
        <v>25027.041590999997</v>
      </c>
      <c r="N99" s="266">
        <f t="shared" si="51"/>
        <v>11648.521287940001</v>
      </c>
      <c r="O99" s="266">
        <f t="shared" si="51"/>
        <v>13628.79071897</v>
      </c>
      <c r="P99" s="266">
        <f t="shared" si="51"/>
        <v>25277.31200691</v>
      </c>
      <c r="Q99" s="266">
        <f t="shared" si="52"/>
        <v>11765.0065008194</v>
      </c>
      <c r="R99" s="266">
        <f t="shared" si="52"/>
        <v>13765.078626159699</v>
      </c>
      <c r="S99" s="266">
        <f t="shared" si="52"/>
        <v>25530.085126979098</v>
      </c>
      <c r="T99" s="266">
        <f t="shared" si="53"/>
        <v>11882.656565827596</v>
      </c>
      <c r="U99" s="266">
        <f t="shared" si="53"/>
        <v>13902.729412421299</v>
      </c>
      <c r="V99" s="266">
        <f t="shared" si="53"/>
        <v>25785.385978248894</v>
      </c>
      <c r="W99" s="266">
        <f t="shared" si="54"/>
        <v>12001.483131485867</v>
      </c>
      <c r="X99" s="266">
        <f t="shared" si="55"/>
        <v>27100.699808847199</v>
      </c>
      <c r="Y99" s="266">
        <f t="shared" si="56"/>
        <v>14041.756706545508</v>
      </c>
      <c r="Z99" s="267">
        <f t="shared" si="57"/>
        <v>12121.49796280073</v>
      </c>
      <c r="AA99" s="267">
        <f t="shared" si="57"/>
        <v>14182.174273610966</v>
      </c>
      <c r="AB99" s="267">
        <f t="shared" si="57"/>
        <v>26303.672236411698</v>
      </c>
      <c r="AC99" s="266">
        <f t="shared" si="58"/>
        <v>12242.712942428738</v>
      </c>
      <c r="AD99" s="266">
        <f t="shared" si="58"/>
        <v>14323.996016347077</v>
      </c>
      <c r="AE99" s="266">
        <f t="shared" si="58"/>
        <v>26566.708958775816</v>
      </c>
      <c r="AF99" s="266">
        <f t="shared" si="59"/>
        <v>12365.140071853026</v>
      </c>
      <c r="AG99" s="268">
        <f t="shared" si="59"/>
        <v>14467.235976510548</v>
      </c>
      <c r="AH99" s="266">
        <f t="shared" si="59"/>
        <v>26832.376048363574</v>
      </c>
    </row>
    <row r="100" spans="1:45" x14ac:dyDescent="0.25">
      <c r="A100" s="11" t="s">
        <v>602</v>
      </c>
      <c r="B100" s="11">
        <v>7868</v>
      </c>
      <c r="C100" s="11">
        <v>8806</v>
      </c>
      <c r="D100" s="11">
        <v>16674</v>
      </c>
      <c r="E100" s="266">
        <f t="shared" si="48"/>
        <v>7946.68</v>
      </c>
      <c r="F100" s="266">
        <f t="shared" si="48"/>
        <v>8894.06</v>
      </c>
      <c r="G100" s="266">
        <f t="shared" si="48"/>
        <v>16840.740000000002</v>
      </c>
      <c r="H100" s="266">
        <f t="shared" si="49"/>
        <v>8026.1468000000004</v>
      </c>
      <c r="I100" s="266">
        <f t="shared" si="49"/>
        <v>8983.0005999999994</v>
      </c>
      <c r="J100" s="266">
        <f t="shared" si="49"/>
        <v>17009.147400000002</v>
      </c>
      <c r="K100" s="266">
        <f t="shared" si="50"/>
        <v>8106.4082679999992</v>
      </c>
      <c r="L100" s="266">
        <f t="shared" si="50"/>
        <v>9072.8306059999995</v>
      </c>
      <c r="M100" s="266">
        <f t="shared" si="50"/>
        <v>17179.238873999999</v>
      </c>
      <c r="N100" s="266">
        <f t="shared" si="51"/>
        <v>8187.4723506800001</v>
      </c>
      <c r="O100" s="266">
        <f t="shared" si="51"/>
        <v>9163.5589120599998</v>
      </c>
      <c r="P100" s="266">
        <f t="shared" si="51"/>
        <v>17351.031262740002</v>
      </c>
      <c r="Q100" s="266">
        <f t="shared" si="52"/>
        <v>8269.3470741867986</v>
      </c>
      <c r="R100" s="266">
        <f t="shared" si="52"/>
        <v>9255.1945011806001</v>
      </c>
      <c r="S100" s="266">
        <f t="shared" si="52"/>
        <v>17524.541575367399</v>
      </c>
      <c r="T100" s="266">
        <f t="shared" si="53"/>
        <v>8352.0405449286682</v>
      </c>
      <c r="U100" s="266">
        <f t="shared" si="53"/>
        <v>9347.7464461924064</v>
      </c>
      <c r="V100" s="266">
        <f t="shared" si="53"/>
        <v>17699.786991121076</v>
      </c>
      <c r="W100" s="266">
        <f t="shared" si="54"/>
        <v>8435.5609503779542</v>
      </c>
      <c r="X100" s="266">
        <f t="shared" si="55"/>
        <v>18602.654012297487</v>
      </c>
      <c r="Y100" s="266">
        <f t="shared" si="56"/>
        <v>9441.2239106543293</v>
      </c>
      <c r="Z100" s="267">
        <f t="shared" si="57"/>
        <v>8519.9165598817344</v>
      </c>
      <c r="AA100" s="267">
        <f t="shared" si="57"/>
        <v>9535.6361497608741</v>
      </c>
      <c r="AB100" s="267">
        <f t="shared" si="57"/>
        <v>18055.552709642609</v>
      </c>
      <c r="AC100" s="266">
        <f t="shared" si="58"/>
        <v>8605.115725480553</v>
      </c>
      <c r="AD100" s="266">
        <f t="shared" si="58"/>
        <v>9630.9925112584842</v>
      </c>
      <c r="AE100" s="266">
        <f t="shared" si="58"/>
        <v>18236.108236739037</v>
      </c>
      <c r="AF100" s="266">
        <f t="shared" si="59"/>
        <v>8691.1668827353587</v>
      </c>
      <c r="AG100" s="268">
        <f t="shared" si="59"/>
        <v>9727.3024363710683</v>
      </c>
      <c r="AH100" s="266">
        <f t="shared" si="59"/>
        <v>18418.469319106429</v>
      </c>
    </row>
    <row r="101" spans="1:45" x14ac:dyDescent="0.25">
      <c r="A101" s="11" t="s">
        <v>603</v>
      </c>
      <c r="B101" s="11">
        <v>7147</v>
      </c>
      <c r="C101" s="11">
        <v>7278</v>
      </c>
      <c r="D101" s="11">
        <v>14425</v>
      </c>
      <c r="E101" s="266">
        <f t="shared" si="48"/>
        <v>7218.47</v>
      </c>
      <c r="F101" s="266">
        <f t="shared" si="48"/>
        <v>7350.78</v>
      </c>
      <c r="G101" s="266">
        <f t="shared" si="48"/>
        <v>14569.25</v>
      </c>
      <c r="H101" s="266">
        <f t="shared" si="49"/>
        <v>7290.6547</v>
      </c>
      <c r="I101" s="266">
        <f t="shared" si="49"/>
        <v>7424.2878000000001</v>
      </c>
      <c r="J101" s="266">
        <f t="shared" si="49"/>
        <v>14714.942499999999</v>
      </c>
      <c r="K101" s="266">
        <f t="shared" si="50"/>
        <v>7363.5612469999996</v>
      </c>
      <c r="L101" s="266">
        <f t="shared" si="50"/>
        <v>7498.5306779999992</v>
      </c>
      <c r="M101" s="266">
        <f t="shared" si="50"/>
        <v>14862.091924999999</v>
      </c>
      <c r="N101" s="266">
        <f t="shared" si="51"/>
        <v>7437.1968594700002</v>
      </c>
      <c r="O101" s="266">
        <f t="shared" si="51"/>
        <v>7573.5159847800005</v>
      </c>
      <c r="P101" s="266">
        <f t="shared" si="51"/>
        <v>15010.71284425</v>
      </c>
      <c r="Q101" s="266">
        <f t="shared" si="52"/>
        <v>7511.5688280646991</v>
      </c>
      <c r="R101" s="266">
        <f t="shared" si="52"/>
        <v>7649.2511446277995</v>
      </c>
      <c r="S101" s="266">
        <f t="shared" si="52"/>
        <v>15160.8199726925</v>
      </c>
      <c r="T101" s="266">
        <f t="shared" si="53"/>
        <v>7586.6845163453481</v>
      </c>
      <c r="U101" s="266">
        <f t="shared" si="53"/>
        <v>7725.7436560740789</v>
      </c>
      <c r="V101" s="266">
        <f t="shared" si="53"/>
        <v>15312.428172419426</v>
      </c>
      <c r="W101" s="266">
        <f t="shared" si="54"/>
        <v>7662.5513615087993</v>
      </c>
      <c r="X101" s="266">
        <f t="shared" si="55"/>
        <v>16093.515900647188</v>
      </c>
      <c r="Y101" s="266">
        <f t="shared" si="56"/>
        <v>7803.0010926348177</v>
      </c>
      <c r="Z101" s="267">
        <f t="shared" si="57"/>
        <v>7739.1768751238897</v>
      </c>
      <c r="AA101" s="267">
        <f t="shared" si="57"/>
        <v>7881.0311035611676</v>
      </c>
      <c r="AB101" s="267">
        <f t="shared" si="57"/>
        <v>15620.207978685057</v>
      </c>
      <c r="AC101" s="266">
        <f t="shared" si="58"/>
        <v>7816.5686438751291</v>
      </c>
      <c r="AD101" s="266">
        <f t="shared" si="58"/>
        <v>7959.8414145967799</v>
      </c>
      <c r="AE101" s="266">
        <f t="shared" si="58"/>
        <v>15776.410058471909</v>
      </c>
      <c r="AF101" s="266">
        <f t="shared" si="59"/>
        <v>7894.7343303138805</v>
      </c>
      <c r="AG101" s="268">
        <f t="shared" si="59"/>
        <v>8039.4398287427484</v>
      </c>
      <c r="AH101" s="266">
        <f t="shared" si="59"/>
        <v>15934.174159056629</v>
      </c>
    </row>
    <row r="102" spans="1:45" x14ac:dyDescent="0.25">
      <c r="A102" s="11" t="s">
        <v>604</v>
      </c>
      <c r="B102" s="11">
        <v>10448</v>
      </c>
      <c r="C102" s="11">
        <v>11653</v>
      </c>
      <c r="D102" s="11">
        <v>22101</v>
      </c>
      <c r="E102" s="266">
        <f t="shared" si="48"/>
        <v>10552.48</v>
      </c>
      <c r="F102" s="266">
        <f t="shared" si="48"/>
        <v>11769.53</v>
      </c>
      <c r="G102" s="266">
        <f t="shared" si="48"/>
        <v>22322.01</v>
      </c>
      <c r="H102" s="266">
        <f t="shared" si="49"/>
        <v>10658.004800000001</v>
      </c>
      <c r="I102" s="266">
        <f t="shared" si="49"/>
        <v>11887.2253</v>
      </c>
      <c r="J102" s="266">
        <f t="shared" si="49"/>
        <v>22545.230100000001</v>
      </c>
      <c r="K102" s="266">
        <f t="shared" si="50"/>
        <v>10764.584847999999</v>
      </c>
      <c r="L102" s="266">
        <f t="shared" si="50"/>
        <v>12006.097553</v>
      </c>
      <c r="M102" s="266">
        <f t="shared" si="50"/>
        <v>22770.682400999998</v>
      </c>
      <c r="N102" s="266">
        <f t="shared" si="51"/>
        <v>10872.230696480001</v>
      </c>
      <c r="O102" s="266">
        <f t="shared" si="51"/>
        <v>12126.158528530001</v>
      </c>
      <c r="P102" s="266">
        <f t="shared" si="51"/>
        <v>22998.38922501</v>
      </c>
      <c r="Q102" s="266">
        <f t="shared" si="52"/>
        <v>10980.9530034448</v>
      </c>
      <c r="R102" s="266">
        <f t="shared" si="52"/>
        <v>12247.420113815298</v>
      </c>
      <c r="S102" s="266">
        <f t="shared" si="52"/>
        <v>23228.3731172601</v>
      </c>
      <c r="T102" s="266">
        <f t="shared" si="53"/>
        <v>11090.76253347925</v>
      </c>
      <c r="U102" s="266">
        <f t="shared" si="53"/>
        <v>12369.894314953455</v>
      </c>
      <c r="V102" s="266">
        <f t="shared" si="53"/>
        <v>23460.656848432704</v>
      </c>
      <c r="W102" s="266">
        <f t="shared" si="54"/>
        <v>11201.670158814039</v>
      </c>
      <c r="X102" s="266">
        <f t="shared" si="55"/>
        <v>24657.386129650156</v>
      </c>
      <c r="Y102" s="266">
        <f t="shared" si="56"/>
        <v>12493.593258102985</v>
      </c>
      <c r="Z102" s="267">
        <f t="shared" si="57"/>
        <v>11313.686860402182</v>
      </c>
      <c r="AA102" s="267">
        <f t="shared" si="57"/>
        <v>12618.529190684019</v>
      </c>
      <c r="AB102" s="267">
        <f t="shared" si="57"/>
        <v>23932.216051086201</v>
      </c>
      <c r="AC102" s="266">
        <f t="shared" si="58"/>
        <v>11426.823729006204</v>
      </c>
      <c r="AD102" s="266">
        <f t="shared" si="58"/>
        <v>12744.71448259086</v>
      </c>
      <c r="AE102" s="266">
        <f t="shared" si="58"/>
        <v>24171.538211597064</v>
      </c>
      <c r="AF102" s="266">
        <f t="shared" si="59"/>
        <v>11541.091966296268</v>
      </c>
      <c r="AG102" s="268">
        <f t="shared" si="59"/>
        <v>12872.161627416768</v>
      </c>
      <c r="AH102" s="266">
        <f t="shared" si="59"/>
        <v>24413.253593713038</v>
      </c>
    </row>
    <row r="103" spans="1:45" x14ac:dyDescent="0.25">
      <c r="A103" s="11" t="s">
        <v>605</v>
      </c>
      <c r="B103" s="11">
        <v>504</v>
      </c>
      <c r="C103" s="11">
        <v>558</v>
      </c>
      <c r="D103" s="11">
        <v>1062</v>
      </c>
      <c r="E103" s="266">
        <f t="shared" si="48"/>
        <v>509.04</v>
      </c>
      <c r="F103" s="266">
        <f t="shared" si="48"/>
        <v>563.58000000000004</v>
      </c>
      <c r="G103" s="266">
        <f t="shared" si="48"/>
        <v>1072.6200000000001</v>
      </c>
      <c r="H103" s="266">
        <f t="shared" si="49"/>
        <v>514.13040000000001</v>
      </c>
      <c r="I103" s="266">
        <f t="shared" si="49"/>
        <v>569.21580000000006</v>
      </c>
      <c r="J103" s="266">
        <f t="shared" si="49"/>
        <v>1083.3462</v>
      </c>
      <c r="K103" s="266">
        <f t="shared" si="50"/>
        <v>519.271704</v>
      </c>
      <c r="L103" s="266">
        <f t="shared" si="50"/>
        <v>574.90795799999989</v>
      </c>
      <c r="M103" s="266">
        <f t="shared" si="50"/>
        <v>1094.179662</v>
      </c>
      <c r="N103" s="266">
        <f t="shared" si="51"/>
        <v>524.46442104000005</v>
      </c>
      <c r="O103" s="266">
        <f t="shared" si="51"/>
        <v>580.65703758000006</v>
      </c>
      <c r="P103" s="266">
        <f t="shared" si="51"/>
        <v>1105.1214586200001</v>
      </c>
      <c r="Q103" s="266">
        <f t="shared" si="52"/>
        <v>529.70906525039993</v>
      </c>
      <c r="R103" s="266">
        <f t="shared" si="52"/>
        <v>586.46360795579994</v>
      </c>
      <c r="S103" s="266">
        <f t="shared" si="52"/>
        <v>1116.1726732062</v>
      </c>
      <c r="T103" s="266">
        <f t="shared" si="53"/>
        <v>535.00615590290408</v>
      </c>
      <c r="U103" s="266">
        <f t="shared" si="53"/>
        <v>592.32824403535813</v>
      </c>
      <c r="V103" s="266">
        <f t="shared" si="53"/>
        <v>1127.3343999382621</v>
      </c>
      <c r="W103" s="266">
        <f t="shared" si="54"/>
        <v>540.35621746193294</v>
      </c>
      <c r="X103" s="266">
        <f t="shared" si="55"/>
        <v>1184.8397841585661</v>
      </c>
      <c r="Y103" s="266">
        <f t="shared" si="56"/>
        <v>598.25152647571144</v>
      </c>
      <c r="Z103" s="267">
        <f t="shared" si="57"/>
        <v>545.75977963655248</v>
      </c>
      <c r="AA103" s="267">
        <f t="shared" si="57"/>
        <v>604.2340417404688</v>
      </c>
      <c r="AB103" s="267">
        <f t="shared" si="57"/>
        <v>1149.9938213770213</v>
      </c>
      <c r="AC103" s="266">
        <f t="shared" si="58"/>
        <v>551.21737743291806</v>
      </c>
      <c r="AD103" s="266">
        <f t="shared" si="58"/>
        <v>610.27638215787351</v>
      </c>
      <c r="AE103" s="266">
        <f t="shared" si="58"/>
        <v>1161.4937595907916</v>
      </c>
      <c r="AF103" s="266">
        <f t="shared" si="59"/>
        <v>556.72955120724714</v>
      </c>
      <c r="AG103" s="268">
        <f t="shared" si="59"/>
        <v>616.37914597945223</v>
      </c>
      <c r="AH103" s="266">
        <f t="shared" si="59"/>
        <v>1173.1086971866994</v>
      </c>
    </row>
    <row r="104" spans="1:45" x14ac:dyDescent="0.25">
      <c r="A104" s="263" t="s">
        <v>2</v>
      </c>
      <c r="B104" s="263">
        <v>747475</v>
      </c>
      <c r="C104" s="263">
        <v>754181</v>
      </c>
      <c r="D104" s="263">
        <v>1501656</v>
      </c>
      <c r="E104" s="270">
        <f t="shared" si="48"/>
        <v>754949.75</v>
      </c>
      <c r="F104" s="270">
        <f t="shared" si="48"/>
        <v>761722.81</v>
      </c>
      <c r="G104" s="270">
        <f t="shared" si="48"/>
        <v>1516672.56</v>
      </c>
      <c r="H104" s="270">
        <f t="shared" si="49"/>
        <v>762499.24750000006</v>
      </c>
      <c r="I104" s="270">
        <f t="shared" si="49"/>
        <v>769340.03810000001</v>
      </c>
      <c r="J104" s="270">
        <f t="shared" si="49"/>
        <v>1531839.2856000001</v>
      </c>
      <c r="K104" s="270">
        <f t="shared" si="50"/>
        <v>770124.23997499992</v>
      </c>
      <c r="L104" s="270">
        <f t="shared" si="50"/>
        <v>777033.4384809999</v>
      </c>
      <c r="M104" s="270">
        <f t="shared" si="50"/>
        <v>1547157.6784559998</v>
      </c>
      <c r="N104" s="270">
        <f t="shared" si="51"/>
        <v>777825.48237474996</v>
      </c>
      <c r="O104" s="270">
        <f t="shared" si="51"/>
        <v>784803.77286580997</v>
      </c>
      <c r="P104" s="270">
        <f t="shared" si="51"/>
        <v>1562629.25524056</v>
      </c>
      <c r="Q104" s="270">
        <f t="shared" si="52"/>
        <v>785603.7371984974</v>
      </c>
      <c r="R104" s="270">
        <f t="shared" si="52"/>
        <v>792651.81059446803</v>
      </c>
      <c r="S104" s="270">
        <f t="shared" si="52"/>
        <v>1578255.5477929655</v>
      </c>
      <c r="T104" s="270">
        <f t="shared" si="53"/>
        <v>793459.77457048255</v>
      </c>
      <c r="U104" s="270">
        <f t="shared" si="53"/>
        <v>800578.32870041288</v>
      </c>
      <c r="V104" s="270">
        <f t="shared" si="53"/>
        <v>1594038.1032708955</v>
      </c>
      <c r="W104" s="270">
        <f t="shared" si="54"/>
        <v>801394.37231618713</v>
      </c>
      <c r="X104" s="270">
        <f t="shared" si="55"/>
        <v>1675350.0667800524</v>
      </c>
      <c r="Y104" s="270">
        <f t="shared" si="56"/>
        <v>808584.11198741675</v>
      </c>
      <c r="Z104" s="271">
        <f t="shared" si="57"/>
        <v>809408.3160393493</v>
      </c>
      <c r="AA104" s="271">
        <f t="shared" si="57"/>
        <v>816669.95310729113</v>
      </c>
      <c r="AB104" s="271">
        <f t="shared" si="57"/>
        <v>1626078.2691466406</v>
      </c>
      <c r="AC104" s="270">
        <f t="shared" si="58"/>
        <v>817502.39919974282</v>
      </c>
      <c r="AD104" s="270">
        <f t="shared" si="58"/>
        <v>824836.65263836412</v>
      </c>
      <c r="AE104" s="270">
        <f t="shared" si="58"/>
        <v>1642339.0518381069</v>
      </c>
      <c r="AF104" s="270">
        <f t="shared" si="59"/>
        <v>825677.42319174029</v>
      </c>
      <c r="AG104" s="272">
        <f t="shared" si="59"/>
        <v>833085.01916474779</v>
      </c>
      <c r="AH104" s="270">
        <f t="shared" si="59"/>
        <v>1658762.442356488</v>
      </c>
    </row>
    <row r="106" spans="1:45" x14ac:dyDescent="0.25">
      <c r="A106" s="263" t="s">
        <v>611</v>
      </c>
      <c r="B106" s="273"/>
      <c r="C106" s="283">
        <v>2012</v>
      </c>
      <c r="D106" s="275"/>
      <c r="E106" s="351">
        <v>2013</v>
      </c>
      <c r="F106" s="352"/>
      <c r="G106" s="353"/>
      <c r="H106" s="351">
        <v>2014</v>
      </c>
      <c r="I106" s="352"/>
      <c r="J106" s="353"/>
      <c r="K106" s="351">
        <v>2015</v>
      </c>
      <c r="L106" s="352"/>
      <c r="M106" s="353"/>
      <c r="N106" s="351">
        <v>2016</v>
      </c>
      <c r="O106" s="352"/>
      <c r="P106" s="353"/>
      <c r="Q106" s="351">
        <v>2017</v>
      </c>
      <c r="R106" s="352"/>
      <c r="S106" s="353"/>
      <c r="T106" s="351">
        <v>2018</v>
      </c>
      <c r="U106" s="352"/>
      <c r="V106" s="353"/>
      <c r="W106" s="351">
        <v>2019</v>
      </c>
      <c r="X106" s="352"/>
      <c r="Y106" s="353"/>
      <c r="Z106" s="354">
        <v>2020</v>
      </c>
      <c r="AA106" s="355"/>
      <c r="AB106" s="356"/>
      <c r="AC106" s="351">
        <v>2021</v>
      </c>
      <c r="AD106" s="352"/>
      <c r="AE106" s="353"/>
      <c r="AF106" s="351">
        <v>2022</v>
      </c>
      <c r="AG106" s="352"/>
      <c r="AH106" s="353"/>
    </row>
    <row r="107" spans="1:45" x14ac:dyDescent="0.25">
      <c r="A107" s="263" t="s">
        <v>612</v>
      </c>
      <c r="B107" s="264" t="s">
        <v>582</v>
      </c>
      <c r="C107" s="264" t="s">
        <v>583</v>
      </c>
      <c r="D107" s="264" t="s">
        <v>2</v>
      </c>
      <c r="E107" s="264" t="s">
        <v>582</v>
      </c>
      <c r="F107" s="264" t="s">
        <v>583</v>
      </c>
      <c r="G107" s="264" t="s">
        <v>2</v>
      </c>
      <c r="H107" s="264" t="s">
        <v>582</v>
      </c>
      <c r="I107" s="264" t="s">
        <v>583</v>
      </c>
      <c r="J107" s="264" t="s">
        <v>2</v>
      </c>
      <c r="K107" s="264" t="s">
        <v>582</v>
      </c>
      <c r="L107" s="264" t="s">
        <v>583</v>
      </c>
      <c r="M107" s="264" t="s">
        <v>2</v>
      </c>
      <c r="N107" s="264" t="s">
        <v>582</v>
      </c>
      <c r="O107" s="264" t="s">
        <v>583</v>
      </c>
      <c r="P107" s="264" t="s">
        <v>2</v>
      </c>
      <c r="Q107" s="264" t="s">
        <v>582</v>
      </c>
      <c r="R107" s="264" t="s">
        <v>583</v>
      </c>
      <c r="S107" s="264" t="s">
        <v>2</v>
      </c>
      <c r="T107" s="264" t="s">
        <v>582</v>
      </c>
      <c r="U107" s="264" t="s">
        <v>583</v>
      </c>
      <c r="V107" s="264" t="s">
        <v>2</v>
      </c>
      <c r="W107" s="264" t="s">
        <v>582</v>
      </c>
      <c r="X107" s="264" t="s">
        <v>583</v>
      </c>
      <c r="Y107" s="264" t="s">
        <v>2</v>
      </c>
      <c r="Z107" s="265" t="s">
        <v>582</v>
      </c>
      <c r="AA107" s="265" t="s">
        <v>583</v>
      </c>
      <c r="AB107" s="265" t="s">
        <v>2</v>
      </c>
      <c r="AC107" s="264" t="s">
        <v>582</v>
      </c>
      <c r="AD107" s="264" t="s">
        <v>583</v>
      </c>
      <c r="AE107" s="264" t="s">
        <v>2</v>
      </c>
      <c r="AF107" s="264" t="s">
        <v>582</v>
      </c>
      <c r="AG107" s="264" t="s">
        <v>583</v>
      </c>
      <c r="AH107" s="264" t="s">
        <v>2</v>
      </c>
      <c r="AI107" t="s">
        <v>3</v>
      </c>
      <c r="AJ107" t="s">
        <v>4</v>
      </c>
      <c r="AK107" t="s">
        <v>584</v>
      </c>
      <c r="AL107" t="s">
        <v>631</v>
      </c>
      <c r="AM107" t="s">
        <v>632</v>
      </c>
      <c r="AN107" t="s">
        <v>633</v>
      </c>
      <c r="AO107" t="s">
        <v>585</v>
      </c>
      <c r="AP107" t="s">
        <v>586</v>
      </c>
      <c r="AQ107" t="s">
        <v>587</v>
      </c>
      <c r="AS107" t="s">
        <v>588</v>
      </c>
    </row>
    <row r="108" spans="1:45" x14ac:dyDescent="0.25">
      <c r="A108" s="11" t="s">
        <v>589</v>
      </c>
      <c r="B108" s="11">
        <v>55935</v>
      </c>
      <c r="C108" s="11">
        <v>55772</v>
      </c>
      <c r="D108" s="11">
        <v>111707</v>
      </c>
      <c r="E108" s="266">
        <f>B108*1.01</f>
        <v>56494.35</v>
      </c>
      <c r="F108" s="266">
        <f>C108*1.01</f>
        <v>56329.72</v>
      </c>
      <c r="G108" s="266">
        <f>D108*1.01</f>
        <v>112824.07</v>
      </c>
      <c r="H108" s="266">
        <f>B108*1.01^2</f>
        <v>57059.2935</v>
      </c>
      <c r="I108" s="266">
        <f>C108*1.01^2</f>
        <v>56893.017200000002</v>
      </c>
      <c r="J108" s="266">
        <f>D108*1.01^2</f>
        <v>113952.3107</v>
      </c>
      <c r="K108" s="266">
        <f>B108*1.01^3</f>
        <v>57629.886434999993</v>
      </c>
      <c r="L108" s="266">
        <f>C108*1.01^3</f>
        <v>57461.947371999995</v>
      </c>
      <c r="M108" s="266">
        <f>D108*1.01^3</f>
        <v>115091.83380699999</v>
      </c>
      <c r="N108" s="266">
        <f>B108*1.01^4</f>
        <v>58206.18529935</v>
      </c>
      <c r="O108" s="266">
        <f>C108*1.01^4</f>
        <v>58036.566845720001</v>
      </c>
      <c r="P108" s="266">
        <f>D108*1.01^4</f>
        <v>116242.75214507</v>
      </c>
      <c r="Q108" s="266">
        <f>B108*1.01^5</f>
        <v>58788.247152343494</v>
      </c>
      <c r="R108" s="266">
        <f>C108*1.01^5</f>
        <v>58616.932514177199</v>
      </c>
      <c r="S108" s="266">
        <f>D108*1.01^5</f>
        <v>117405.17966652069</v>
      </c>
      <c r="T108" s="266">
        <f>B108*1.01^6</f>
        <v>59376.129623866946</v>
      </c>
      <c r="U108" s="266">
        <f>C108*1.01^6</f>
        <v>59203.101839318981</v>
      </c>
      <c r="V108" s="266">
        <f>D108*1.01^6</f>
        <v>118579.23146318592</v>
      </c>
      <c r="W108" s="266">
        <f>B108*1.01^7</f>
        <v>59969.890920105594</v>
      </c>
      <c r="X108" s="266">
        <f>P108*1.01^7</f>
        <v>124627.96400094249</v>
      </c>
      <c r="Y108" s="266">
        <f>C108*1.01^7</f>
        <v>59795.132857712153</v>
      </c>
      <c r="Z108" s="267">
        <f>B108*1.01^8</f>
        <v>60569.589829306671</v>
      </c>
      <c r="AA108" s="267">
        <f>C108*1.01^8</f>
        <v>60393.084186289292</v>
      </c>
      <c r="AB108" s="267">
        <f>D108*1.01^8</f>
        <v>120962.67401559596</v>
      </c>
      <c r="AC108" s="266">
        <f>B108*1.01^9</f>
        <v>61175.285727599738</v>
      </c>
      <c r="AD108" s="266">
        <f>C108*1.01^9</f>
        <v>60997.015028152186</v>
      </c>
      <c r="AE108" s="266">
        <f>D108*1.01^9</f>
        <v>122172.30075575193</v>
      </c>
      <c r="AF108" s="266">
        <f>B108*1.01^10</f>
        <v>61787.038584875736</v>
      </c>
      <c r="AG108" s="268">
        <f>C108*1.01^10</f>
        <v>61606.985178433708</v>
      </c>
      <c r="AH108" s="266">
        <f>D108*1.01^10</f>
        <v>123394.02376330945</v>
      </c>
      <c r="AI108" s="6">
        <f>Z125/AB125</f>
        <v>0.48166597019827317</v>
      </c>
      <c r="AJ108" s="6">
        <f>AA125/AB125</f>
        <v>0.51833402980172683</v>
      </c>
      <c r="AK108" s="6">
        <f>AB108/AB125</f>
        <v>0.14913813705162901</v>
      </c>
      <c r="AL108" s="6">
        <f>SUM(AB108:AB110)/AB125</f>
        <v>0.44001805032462549</v>
      </c>
      <c r="AM108" s="6">
        <f>SUM(Z108:Z110)/Z125</f>
        <v>0.45977282302592193</v>
      </c>
      <c r="AN108" s="6">
        <f>SUM(AA108:AA110)/AA125</f>
        <v>0.42166077256137302</v>
      </c>
      <c r="AO108" s="6">
        <f>SUM(AB108:AB111)/AB125</f>
        <v>0.55091940503353065</v>
      </c>
      <c r="AP108" s="6">
        <f>SUM(AA111:AA117)/AA125</f>
        <v>0.43356832482916541</v>
      </c>
      <c r="AQ108" s="6">
        <f>SUM(Z111:Z117)/Z125</f>
        <v>0.4280356786482471</v>
      </c>
      <c r="AR108" s="6"/>
      <c r="AS108" s="6">
        <f>SUM(AB121:AB123)/AB125</f>
        <v>5.0089650835695318E-2</v>
      </c>
    </row>
    <row r="109" spans="1:45" x14ac:dyDescent="0.25">
      <c r="A109" s="269" t="s">
        <v>590</v>
      </c>
      <c r="B109" s="11">
        <v>54233</v>
      </c>
      <c r="C109" s="11">
        <v>53417</v>
      </c>
      <c r="D109" s="11">
        <v>107650</v>
      </c>
      <c r="E109" s="266">
        <f t="shared" ref="E109:G125" si="60">B109*1.01</f>
        <v>54775.33</v>
      </c>
      <c r="F109" s="266">
        <f t="shared" si="60"/>
        <v>53951.17</v>
      </c>
      <c r="G109" s="266">
        <f t="shared" si="60"/>
        <v>108726.5</v>
      </c>
      <c r="H109" s="266">
        <f t="shared" ref="H109:J125" si="61">B109*1.01^2</f>
        <v>55323.083299999998</v>
      </c>
      <c r="I109" s="266">
        <f t="shared" si="61"/>
        <v>54490.681700000001</v>
      </c>
      <c r="J109" s="266">
        <f t="shared" si="61"/>
        <v>109813.765</v>
      </c>
      <c r="K109" s="266">
        <f t="shared" ref="K109:M125" si="62">B109*1.01^3</f>
        <v>55876.314132999993</v>
      </c>
      <c r="L109" s="266">
        <f t="shared" si="62"/>
        <v>55035.588516999997</v>
      </c>
      <c r="M109" s="266">
        <f t="shared" si="62"/>
        <v>110911.90264999999</v>
      </c>
      <c r="N109" s="266">
        <f t="shared" ref="N109:P125" si="63">B109*1.01^4</f>
        <v>56435.077274330004</v>
      </c>
      <c r="O109" s="266">
        <f t="shared" si="63"/>
        <v>55585.944402170004</v>
      </c>
      <c r="P109" s="266">
        <f t="shared" si="63"/>
        <v>112021.02167650001</v>
      </c>
      <c r="Q109" s="266">
        <f t="shared" ref="Q109:S125" si="64">B109*1.01^5</f>
        <v>56999.428047073299</v>
      </c>
      <c r="R109" s="266">
        <f t="shared" si="64"/>
        <v>56141.803846191695</v>
      </c>
      <c r="S109" s="266">
        <f t="shared" si="64"/>
        <v>113141.23189326499</v>
      </c>
      <c r="T109" s="266">
        <f t="shared" ref="T109:V125" si="65">B109*1.01^6</f>
        <v>57569.422327544038</v>
      </c>
      <c r="U109" s="266">
        <f t="shared" si="65"/>
        <v>56703.221884653627</v>
      </c>
      <c r="V109" s="266">
        <f t="shared" si="65"/>
        <v>114272.64421219766</v>
      </c>
      <c r="W109" s="266">
        <f t="shared" ref="W109:W125" si="66">B109*1.01^7</f>
        <v>58145.116550819461</v>
      </c>
      <c r="X109" s="266">
        <f t="shared" ref="X109:X125" si="67">P109*1.01^7</f>
        <v>120101.69751852132</v>
      </c>
      <c r="Y109" s="266">
        <f t="shared" ref="Y109:Y125" si="68">C109*1.01^7</f>
        <v>57270.254103500141</v>
      </c>
      <c r="Z109" s="267">
        <f t="shared" ref="Z109:AB125" si="69">B109*1.01^8</f>
        <v>58726.567716327678</v>
      </c>
      <c r="AA109" s="267">
        <f t="shared" si="69"/>
        <v>57842.956644535159</v>
      </c>
      <c r="AB109" s="267">
        <f t="shared" si="69"/>
        <v>116569.52436086284</v>
      </c>
      <c r="AC109" s="266">
        <f t="shared" ref="AC109:AE125" si="70">B109*1.01^9</f>
        <v>59313.833393490953</v>
      </c>
      <c r="AD109" s="266">
        <f t="shared" si="70"/>
        <v>58421.38621098052</v>
      </c>
      <c r="AE109" s="266">
        <f t="shared" si="70"/>
        <v>117735.21960447148</v>
      </c>
      <c r="AF109" s="266">
        <f t="shared" ref="AF109:AH125" si="71">B109*1.01^10</f>
        <v>59906.971727425866</v>
      </c>
      <c r="AG109" s="268">
        <f t="shared" si="71"/>
        <v>59005.600073090325</v>
      </c>
      <c r="AH109" s="266">
        <f t="shared" si="71"/>
        <v>118912.57180051619</v>
      </c>
    </row>
    <row r="110" spans="1:45" x14ac:dyDescent="0.25">
      <c r="A110" s="269" t="s">
        <v>591</v>
      </c>
      <c r="B110" s="11">
        <v>55707</v>
      </c>
      <c r="C110" s="11">
        <v>54517</v>
      </c>
      <c r="D110" s="11">
        <v>110224</v>
      </c>
      <c r="E110" s="266">
        <f t="shared" si="60"/>
        <v>56264.07</v>
      </c>
      <c r="F110" s="266">
        <f t="shared" si="60"/>
        <v>55062.17</v>
      </c>
      <c r="G110" s="266">
        <f t="shared" si="60"/>
        <v>111326.24</v>
      </c>
      <c r="H110" s="266">
        <f t="shared" si="61"/>
        <v>56826.710700000003</v>
      </c>
      <c r="I110" s="266">
        <f t="shared" si="61"/>
        <v>55612.791700000002</v>
      </c>
      <c r="J110" s="266">
        <f t="shared" si="61"/>
        <v>112439.5024</v>
      </c>
      <c r="K110" s="266">
        <f t="shared" si="62"/>
        <v>57394.977806999996</v>
      </c>
      <c r="L110" s="266">
        <f t="shared" si="62"/>
        <v>56168.919616999992</v>
      </c>
      <c r="M110" s="266">
        <f t="shared" si="62"/>
        <v>113563.897424</v>
      </c>
      <c r="N110" s="266">
        <f t="shared" si="63"/>
        <v>57968.92758507</v>
      </c>
      <c r="O110" s="266">
        <f t="shared" si="63"/>
        <v>56730.608813170002</v>
      </c>
      <c r="P110" s="266">
        <f t="shared" si="63"/>
        <v>114699.53639824</v>
      </c>
      <c r="Q110" s="266">
        <f t="shared" si="64"/>
        <v>58548.616860920694</v>
      </c>
      <c r="R110" s="266">
        <f t="shared" si="64"/>
        <v>57297.914901301694</v>
      </c>
      <c r="S110" s="266">
        <f t="shared" si="64"/>
        <v>115846.5317622224</v>
      </c>
      <c r="T110" s="266">
        <f t="shared" si="65"/>
        <v>59134.103029529913</v>
      </c>
      <c r="U110" s="266">
        <f t="shared" si="65"/>
        <v>57870.894050314724</v>
      </c>
      <c r="V110" s="266">
        <f t="shared" si="65"/>
        <v>117004.99707984464</v>
      </c>
      <c r="W110" s="266">
        <f t="shared" si="66"/>
        <v>59725.444059825197</v>
      </c>
      <c r="X110" s="266">
        <f t="shared" si="67"/>
        <v>122973.42784283783</v>
      </c>
      <c r="Y110" s="266">
        <f t="shared" si="68"/>
        <v>58449.602990817853</v>
      </c>
      <c r="Z110" s="267">
        <f t="shared" si="69"/>
        <v>60322.698500423467</v>
      </c>
      <c r="AA110" s="267">
        <f t="shared" si="69"/>
        <v>59034.099020726047</v>
      </c>
      <c r="AB110" s="267">
        <f t="shared" si="69"/>
        <v>119356.79752114952</v>
      </c>
      <c r="AC110" s="266">
        <f t="shared" si="70"/>
        <v>60925.925485427702</v>
      </c>
      <c r="AD110" s="266">
        <f t="shared" si="70"/>
        <v>59624.440010933315</v>
      </c>
      <c r="AE110" s="266">
        <f t="shared" si="70"/>
        <v>120550.36549636102</v>
      </c>
      <c r="AF110" s="266">
        <f t="shared" si="71"/>
        <v>61535.184740281984</v>
      </c>
      <c r="AG110" s="268">
        <f t="shared" si="71"/>
        <v>60220.684411042646</v>
      </c>
      <c r="AH110" s="266">
        <f t="shared" si="71"/>
        <v>121755.86915132463</v>
      </c>
    </row>
    <row r="111" spans="1:45" x14ac:dyDescent="0.25">
      <c r="A111" s="11" t="s">
        <v>592</v>
      </c>
      <c r="B111" s="11">
        <v>43156</v>
      </c>
      <c r="C111" s="11">
        <v>39911</v>
      </c>
      <c r="D111" s="11">
        <v>83067</v>
      </c>
      <c r="E111" s="266">
        <f t="shared" si="60"/>
        <v>43587.56</v>
      </c>
      <c r="F111" s="266">
        <f t="shared" si="60"/>
        <v>40310.11</v>
      </c>
      <c r="G111" s="266">
        <f t="shared" si="60"/>
        <v>83897.67</v>
      </c>
      <c r="H111" s="266">
        <f t="shared" si="61"/>
        <v>44023.435599999997</v>
      </c>
      <c r="I111" s="266">
        <f t="shared" si="61"/>
        <v>40713.2111</v>
      </c>
      <c r="J111" s="266">
        <f t="shared" si="61"/>
        <v>84736.646699999998</v>
      </c>
      <c r="K111" s="266">
        <f t="shared" si="62"/>
        <v>44463.669955999998</v>
      </c>
      <c r="L111" s="266">
        <f t="shared" si="62"/>
        <v>41120.343210999999</v>
      </c>
      <c r="M111" s="266">
        <f t="shared" si="62"/>
        <v>85584.013166999997</v>
      </c>
      <c r="N111" s="266">
        <f t="shared" si="63"/>
        <v>44908.306655560002</v>
      </c>
      <c r="O111" s="266">
        <f t="shared" si="63"/>
        <v>41531.546643109999</v>
      </c>
      <c r="P111" s="266">
        <f t="shared" si="63"/>
        <v>86439.853298670001</v>
      </c>
      <c r="Q111" s="266">
        <f t="shared" si="64"/>
        <v>45357.3897221156</v>
      </c>
      <c r="R111" s="266">
        <f t="shared" si="64"/>
        <v>41946.8621095411</v>
      </c>
      <c r="S111" s="266">
        <f t="shared" si="64"/>
        <v>87304.2518316567</v>
      </c>
      <c r="T111" s="266">
        <f t="shared" si="65"/>
        <v>45810.963619336762</v>
      </c>
      <c r="U111" s="266">
        <f t="shared" si="65"/>
        <v>42366.330730636517</v>
      </c>
      <c r="V111" s="266">
        <f t="shared" si="65"/>
        <v>88177.294349973279</v>
      </c>
      <c r="W111" s="266">
        <f t="shared" si="66"/>
        <v>46269.073255530115</v>
      </c>
      <c r="X111" s="266">
        <f t="shared" si="67"/>
        <v>92675.222552447842</v>
      </c>
      <c r="Y111" s="266">
        <f t="shared" si="68"/>
        <v>42789.994037942866</v>
      </c>
      <c r="Z111" s="267">
        <f t="shared" si="69"/>
        <v>46731.763988085433</v>
      </c>
      <c r="AA111" s="267">
        <f t="shared" si="69"/>
        <v>43217.89397832231</v>
      </c>
      <c r="AB111" s="267">
        <f t="shared" si="69"/>
        <v>89949.657966407744</v>
      </c>
      <c r="AC111" s="266">
        <f t="shared" si="70"/>
        <v>47199.08162796629</v>
      </c>
      <c r="AD111" s="266">
        <f t="shared" si="70"/>
        <v>43650.072918105536</v>
      </c>
      <c r="AE111" s="266">
        <f t="shared" si="70"/>
        <v>90849.154546071819</v>
      </c>
      <c r="AF111" s="266">
        <f t="shared" si="71"/>
        <v>47671.072444245954</v>
      </c>
      <c r="AG111" s="268">
        <f t="shared" si="71"/>
        <v>44086.57364728659</v>
      </c>
      <c r="AH111" s="266">
        <f t="shared" si="71"/>
        <v>91757.646091532544</v>
      </c>
    </row>
    <row r="112" spans="1:45" x14ac:dyDescent="0.25">
      <c r="A112" s="11" t="s">
        <v>593</v>
      </c>
      <c r="B112" s="11">
        <v>29180</v>
      </c>
      <c r="C112" s="11">
        <v>33426</v>
      </c>
      <c r="D112" s="11">
        <v>62606</v>
      </c>
      <c r="E112" s="266">
        <f t="shared" si="60"/>
        <v>29471.8</v>
      </c>
      <c r="F112" s="266">
        <f t="shared" si="60"/>
        <v>33760.26</v>
      </c>
      <c r="G112" s="266">
        <f t="shared" si="60"/>
        <v>63232.06</v>
      </c>
      <c r="H112" s="266">
        <f t="shared" si="61"/>
        <v>29766.518</v>
      </c>
      <c r="I112" s="266">
        <f t="shared" si="61"/>
        <v>34097.8626</v>
      </c>
      <c r="J112" s="266">
        <f t="shared" si="61"/>
        <v>63864.380600000004</v>
      </c>
      <c r="K112" s="266">
        <f t="shared" si="62"/>
        <v>30064.183179999996</v>
      </c>
      <c r="L112" s="266">
        <f t="shared" si="62"/>
        <v>34438.841225999997</v>
      </c>
      <c r="M112" s="266">
        <f t="shared" si="62"/>
        <v>64503.024405999997</v>
      </c>
      <c r="N112" s="266">
        <f t="shared" si="63"/>
        <v>30364.8250118</v>
      </c>
      <c r="O112" s="266">
        <f t="shared" si="63"/>
        <v>34783.229638260003</v>
      </c>
      <c r="P112" s="266">
        <f t="shared" si="63"/>
        <v>65148.054650060003</v>
      </c>
      <c r="Q112" s="266">
        <f t="shared" si="64"/>
        <v>30668.473261917999</v>
      </c>
      <c r="R112" s="266">
        <f t="shared" si="64"/>
        <v>35131.061934642596</v>
      </c>
      <c r="S112" s="266">
        <f t="shared" si="64"/>
        <v>65799.535196560595</v>
      </c>
      <c r="T112" s="266">
        <f t="shared" si="65"/>
        <v>30975.157994537185</v>
      </c>
      <c r="U112" s="266">
        <f t="shared" si="65"/>
        <v>35482.372553989029</v>
      </c>
      <c r="V112" s="266">
        <f t="shared" si="65"/>
        <v>66457.530548526222</v>
      </c>
      <c r="W112" s="266">
        <f t="shared" si="66"/>
        <v>31284.909574482546</v>
      </c>
      <c r="X112" s="266">
        <f t="shared" si="67"/>
        <v>69847.532511328798</v>
      </c>
      <c r="Y112" s="266">
        <f t="shared" si="68"/>
        <v>35837.196279528907</v>
      </c>
      <c r="Z112" s="267">
        <f t="shared" si="69"/>
        <v>31597.75867022738</v>
      </c>
      <c r="AA112" s="267">
        <f t="shared" si="69"/>
        <v>36195.568242324211</v>
      </c>
      <c r="AB112" s="267">
        <f t="shared" si="69"/>
        <v>67793.326912551594</v>
      </c>
      <c r="AC112" s="266">
        <f t="shared" si="70"/>
        <v>31913.736256929657</v>
      </c>
      <c r="AD112" s="266">
        <f t="shared" si="70"/>
        <v>36557.523924747453</v>
      </c>
      <c r="AE112" s="266">
        <f t="shared" si="70"/>
        <v>68471.260181677106</v>
      </c>
      <c r="AF112" s="266">
        <f t="shared" si="71"/>
        <v>32232.873619498954</v>
      </c>
      <c r="AG112" s="268">
        <f t="shared" si="71"/>
        <v>36923.099163994928</v>
      </c>
      <c r="AH112" s="266">
        <f t="shared" si="71"/>
        <v>69155.972783493882</v>
      </c>
    </row>
    <row r="113" spans="1:45" x14ac:dyDescent="0.25">
      <c r="A113" s="11" t="s">
        <v>594</v>
      </c>
      <c r="B113" s="11">
        <v>23609</v>
      </c>
      <c r="C113" s="11">
        <v>28689</v>
      </c>
      <c r="D113" s="11">
        <v>52298</v>
      </c>
      <c r="E113" s="266">
        <f t="shared" si="60"/>
        <v>23845.09</v>
      </c>
      <c r="F113" s="266">
        <f t="shared" si="60"/>
        <v>28975.89</v>
      </c>
      <c r="G113" s="266">
        <f t="shared" si="60"/>
        <v>52820.98</v>
      </c>
      <c r="H113" s="266">
        <f t="shared" si="61"/>
        <v>24083.5409</v>
      </c>
      <c r="I113" s="266">
        <f t="shared" si="61"/>
        <v>29265.6489</v>
      </c>
      <c r="J113" s="266">
        <f t="shared" si="61"/>
        <v>53349.1898</v>
      </c>
      <c r="K113" s="266">
        <f t="shared" si="62"/>
        <v>24324.376308999999</v>
      </c>
      <c r="L113" s="266">
        <f t="shared" si="62"/>
        <v>29558.305388999997</v>
      </c>
      <c r="M113" s="266">
        <f t="shared" si="62"/>
        <v>53882.681697999993</v>
      </c>
      <c r="N113" s="266">
        <f t="shared" si="63"/>
        <v>24567.620072090001</v>
      </c>
      <c r="O113" s="266">
        <f t="shared" si="63"/>
        <v>29853.888442890002</v>
      </c>
      <c r="P113" s="266">
        <f t="shared" si="63"/>
        <v>54421.50851498</v>
      </c>
      <c r="Q113" s="266">
        <f t="shared" si="64"/>
        <v>24813.296272810898</v>
      </c>
      <c r="R113" s="266">
        <f t="shared" si="64"/>
        <v>30152.427327318899</v>
      </c>
      <c r="S113" s="266">
        <f t="shared" si="64"/>
        <v>54965.723600129793</v>
      </c>
      <c r="T113" s="266">
        <f t="shared" si="65"/>
        <v>25061.429235539013</v>
      </c>
      <c r="U113" s="266">
        <f t="shared" si="65"/>
        <v>30453.951600592092</v>
      </c>
      <c r="V113" s="266">
        <f t="shared" si="65"/>
        <v>55515.380836131102</v>
      </c>
      <c r="W113" s="266">
        <f t="shared" si="66"/>
        <v>25312.043527894395</v>
      </c>
      <c r="X113" s="266">
        <f t="shared" si="67"/>
        <v>58347.223193902719</v>
      </c>
      <c r="Y113" s="266">
        <f t="shared" si="68"/>
        <v>30758.491116598005</v>
      </c>
      <c r="Z113" s="267">
        <f t="shared" si="69"/>
        <v>25565.163963173345</v>
      </c>
      <c r="AA113" s="267">
        <f t="shared" si="69"/>
        <v>31066.076027763993</v>
      </c>
      <c r="AB113" s="267">
        <f t="shared" si="69"/>
        <v>56631.239990937342</v>
      </c>
      <c r="AC113" s="266">
        <f t="shared" si="70"/>
        <v>25820.81560280508</v>
      </c>
      <c r="AD113" s="266">
        <f t="shared" si="70"/>
        <v>31376.736788041635</v>
      </c>
      <c r="AE113" s="266">
        <f t="shared" si="70"/>
        <v>57197.552390846715</v>
      </c>
      <c r="AF113" s="266">
        <f t="shared" si="71"/>
        <v>26079.023758833133</v>
      </c>
      <c r="AG113" s="268">
        <f t="shared" si="71"/>
        <v>31690.504155922052</v>
      </c>
      <c r="AH113" s="266">
        <f t="shared" si="71"/>
        <v>57769.527914755185</v>
      </c>
    </row>
    <row r="114" spans="1:45" x14ac:dyDescent="0.25">
      <c r="A114" s="11" t="s">
        <v>595</v>
      </c>
      <c r="B114" s="11">
        <v>19952</v>
      </c>
      <c r="C114" s="11">
        <v>22128</v>
      </c>
      <c r="D114" s="11">
        <v>42080</v>
      </c>
      <c r="E114" s="266">
        <f t="shared" si="60"/>
        <v>20151.52</v>
      </c>
      <c r="F114" s="266">
        <f t="shared" si="60"/>
        <v>22349.279999999999</v>
      </c>
      <c r="G114" s="266">
        <f t="shared" si="60"/>
        <v>42500.800000000003</v>
      </c>
      <c r="H114" s="266">
        <f t="shared" si="61"/>
        <v>20353.035199999998</v>
      </c>
      <c r="I114" s="266">
        <f t="shared" si="61"/>
        <v>22572.772799999999</v>
      </c>
      <c r="J114" s="266">
        <f t="shared" si="61"/>
        <v>42925.807999999997</v>
      </c>
      <c r="K114" s="266">
        <f t="shared" si="62"/>
        <v>20556.565552</v>
      </c>
      <c r="L114" s="266">
        <f t="shared" si="62"/>
        <v>22798.500527999997</v>
      </c>
      <c r="M114" s="266">
        <f t="shared" si="62"/>
        <v>43355.066079999997</v>
      </c>
      <c r="N114" s="266">
        <f t="shared" si="63"/>
        <v>20762.13120752</v>
      </c>
      <c r="O114" s="266">
        <f t="shared" si="63"/>
        <v>23026.48553328</v>
      </c>
      <c r="P114" s="266">
        <f t="shared" si="63"/>
        <v>43788.616740800004</v>
      </c>
      <c r="Q114" s="266">
        <f t="shared" si="64"/>
        <v>20969.7525195952</v>
      </c>
      <c r="R114" s="266">
        <f t="shared" si="64"/>
        <v>23256.7503886128</v>
      </c>
      <c r="S114" s="266">
        <f t="shared" si="64"/>
        <v>44226.502908208</v>
      </c>
      <c r="T114" s="266">
        <f t="shared" si="65"/>
        <v>21179.450044791156</v>
      </c>
      <c r="U114" s="266">
        <f t="shared" si="65"/>
        <v>23489.31789249893</v>
      </c>
      <c r="V114" s="266">
        <f t="shared" si="65"/>
        <v>44668.767937290082</v>
      </c>
      <c r="W114" s="266">
        <f t="shared" si="66"/>
        <v>21391.24454523906</v>
      </c>
      <c r="X114" s="266">
        <f t="shared" si="67"/>
        <v>46947.324027676514</v>
      </c>
      <c r="Y114" s="266">
        <f t="shared" si="68"/>
        <v>23724.211071423913</v>
      </c>
      <c r="Z114" s="267">
        <f t="shared" si="69"/>
        <v>21605.156990691456</v>
      </c>
      <c r="AA114" s="267">
        <f t="shared" si="69"/>
        <v>23961.453182138161</v>
      </c>
      <c r="AB114" s="267">
        <f t="shared" si="69"/>
        <v>45566.610172829613</v>
      </c>
      <c r="AC114" s="266">
        <f t="shared" si="70"/>
        <v>21821.208560598374</v>
      </c>
      <c r="AD114" s="266">
        <f t="shared" si="70"/>
        <v>24201.067713959543</v>
      </c>
      <c r="AE114" s="266">
        <f t="shared" si="70"/>
        <v>46022.276274557917</v>
      </c>
      <c r="AF114" s="266">
        <f t="shared" si="71"/>
        <v>22039.420646204358</v>
      </c>
      <c r="AG114" s="268">
        <f t="shared" si="71"/>
        <v>24443.078391099138</v>
      </c>
      <c r="AH114" s="266">
        <f t="shared" si="71"/>
        <v>46482.499037303496</v>
      </c>
    </row>
    <row r="115" spans="1:45" x14ac:dyDescent="0.25">
      <c r="A115" s="11" t="s">
        <v>596</v>
      </c>
      <c r="B115" s="11">
        <v>16756</v>
      </c>
      <c r="C115" s="11">
        <v>18588</v>
      </c>
      <c r="D115" s="11">
        <v>35344</v>
      </c>
      <c r="E115" s="266">
        <f t="shared" si="60"/>
        <v>16923.560000000001</v>
      </c>
      <c r="F115" s="266">
        <f t="shared" si="60"/>
        <v>18773.88</v>
      </c>
      <c r="G115" s="266">
        <f t="shared" si="60"/>
        <v>35697.440000000002</v>
      </c>
      <c r="H115" s="266">
        <f t="shared" si="61"/>
        <v>17092.795600000001</v>
      </c>
      <c r="I115" s="266">
        <f t="shared" si="61"/>
        <v>18961.6188</v>
      </c>
      <c r="J115" s="266">
        <f t="shared" si="61"/>
        <v>36054.414400000001</v>
      </c>
      <c r="K115" s="266">
        <f t="shared" si="62"/>
        <v>17263.723555999997</v>
      </c>
      <c r="L115" s="266">
        <f t="shared" si="62"/>
        <v>19151.234988</v>
      </c>
      <c r="M115" s="266">
        <f t="shared" si="62"/>
        <v>36414.958543999994</v>
      </c>
      <c r="N115" s="266">
        <f t="shared" si="63"/>
        <v>17436.360791560001</v>
      </c>
      <c r="O115" s="266">
        <f t="shared" si="63"/>
        <v>19342.747337879999</v>
      </c>
      <c r="P115" s="266">
        <f t="shared" si="63"/>
        <v>36779.108129439999</v>
      </c>
      <c r="Q115" s="266">
        <f t="shared" si="64"/>
        <v>17610.724399475599</v>
      </c>
      <c r="R115" s="266">
        <f t="shared" si="64"/>
        <v>19536.174811258799</v>
      </c>
      <c r="S115" s="266">
        <f t="shared" si="64"/>
        <v>37146.899210734395</v>
      </c>
      <c r="T115" s="266">
        <f t="shared" si="65"/>
        <v>17786.831643470359</v>
      </c>
      <c r="U115" s="266">
        <f t="shared" si="65"/>
        <v>19731.53655937139</v>
      </c>
      <c r="V115" s="266">
        <f t="shared" si="65"/>
        <v>37518.368202841746</v>
      </c>
      <c r="W115" s="266">
        <f t="shared" si="66"/>
        <v>17964.699959905058</v>
      </c>
      <c r="X115" s="266">
        <f t="shared" si="67"/>
        <v>39432.182044538938</v>
      </c>
      <c r="Y115" s="266">
        <f t="shared" si="68"/>
        <v>19928.8519249651</v>
      </c>
      <c r="Z115" s="267">
        <f t="shared" si="69"/>
        <v>18144.346959504113</v>
      </c>
      <c r="AA115" s="267">
        <f t="shared" si="69"/>
        <v>20128.140444214754</v>
      </c>
      <c r="AB115" s="267">
        <f t="shared" si="69"/>
        <v>38272.487403718871</v>
      </c>
      <c r="AC115" s="266">
        <f t="shared" si="70"/>
        <v>18325.790429099154</v>
      </c>
      <c r="AD115" s="266">
        <f t="shared" si="70"/>
        <v>20329.421848656904</v>
      </c>
      <c r="AE115" s="266">
        <f t="shared" si="70"/>
        <v>38655.212277756058</v>
      </c>
      <c r="AF115" s="266">
        <f t="shared" si="71"/>
        <v>18509.048333390147</v>
      </c>
      <c r="AG115" s="268">
        <f t="shared" si="71"/>
        <v>20532.716067143472</v>
      </c>
      <c r="AH115" s="266">
        <f t="shared" si="71"/>
        <v>39041.764400533619</v>
      </c>
    </row>
    <row r="116" spans="1:45" x14ac:dyDescent="0.25">
      <c r="A116" s="11" t="s">
        <v>597</v>
      </c>
      <c r="B116" s="11">
        <v>12654</v>
      </c>
      <c r="C116" s="11">
        <v>13759</v>
      </c>
      <c r="D116" s="11">
        <v>26413</v>
      </c>
      <c r="E116" s="266">
        <f t="shared" si="60"/>
        <v>12780.54</v>
      </c>
      <c r="F116" s="266">
        <f t="shared" si="60"/>
        <v>13896.59</v>
      </c>
      <c r="G116" s="266">
        <f t="shared" si="60"/>
        <v>26677.13</v>
      </c>
      <c r="H116" s="266">
        <f t="shared" si="61"/>
        <v>12908.3454</v>
      </c>
      <c r="I116" s="266">
        <f t="shared" si="61"/>
        <v>14035.555899999999</v>
      </c>
      <c r="J116" s="266">
        <f t="shared" si="61"/>
        <v>26943.901300000001</v>
      </c>
      <c r="K116" s="266">
        <f t="shared" si="62"/>
        <v>13037.428854</v>
      </c>
      <c r="L116" s="266">
        <f t="shared" si="62"/>
        <v>14175.911458999999</v>
      </c>
      <c r="M116" s="266">
        <f t="shared" si="62"/>
        <v>27213.340312999997</v>
      </c>
      <c r="N116" s="266">
        <f t="shared" si="63"/>
        <v>13167.80314254</v>
      </c>
      <c r="O116" s="266">
        <f t="shared" si="63"/>
        <v>14317.67057359</v>
      </c>
      <c r="P116" s="266">
        <f t="shared" si="63"/>
        <v>27485.47371613</v>
      </c>
      <c r="Q116" s="266">
        <f t="shared" si="64"/>
        <v>13299.4811739654</v>
      </c>
      <c r="R116" s="266">
        <f t="shared" si="64"/>
        <v>14460.847279325899</v>
      </c>
      <c r="S116" s="266">
        <f t="shared" si="64"/>
        <v>27760.328453291299</v>
      </c>
      <c r="T116" s="266">
        <f t="shared" si="65"/>
        <v>13432.475985705056</v>
      </c>
      <c r="U116" s="266">
        <f t="shared" si="65"/>
        <v>14605.45575211916</v>
      </c>
      <c r="V116" s="266">
        <f t="shared" si="65"/>
        <v>28037.931737824216</v>
      </c>
      <c r="W116" s="266">
        <f t="shared" si="66"/>
        <v>13566.800745562103</v>
      </c>
      <c r="X116" s="266">
        <f t="shared" si="67"/>
        <v>29468.148040471002</v>
      </c>
      <c r="Y116" s="266">
        <f t="shared" si="68"/>
        <v>14751.510309640349</v>
      </c>
      <c r="Z116" s="267">
        <f t="shared" si="69"/>
        <v>13702.468753017727</v>
      </c>
      <c r="AA116" s="267">
        <f t="shared" si="69"/>
        <v>14899.025412736755</v>
      </c>
      <c r="AB116" s="267">
        <f t="shared" si="69"/>
        <v>28601.494165754484</v>
      </c>
      <c r="AC116" s="266">
        <f t="shared" si="70"/>
        <v>13839.493440547905</v>
      </c>
      <c r="AD116" s="266">
        <f t="shared" si="70"/>
        <v>15048.015666864125</v>
      </c>
      <c r="AE116" s="266">
        <f t="shared" si="70"/>
        <v>28887.509107412028</v>
      </c>
      <c r="AF116" s="266">
        <f t="shared" si="71"/>
        <v>13977.888374953385</v>
      </c>
      <c r="AG116" s="268">
        <f t="shared" si="71"/>
        <v>15198.495823532767</v>
      </c>
      <c r="AH116" s="266">
        <f t="shared" si="71"/>
        <v>29176.38419848615</v>
      </c>
    </row>
    <row r="117" spans="1:45" x14ac:dyDescent="0.25">
      <c r="A117" s="11" t="s">
        <v>598</v>
      </c>
      <c r="B117" s="11">
        <v>9118</v>
      </c>
      <c r="C117" s="11">
        <v>11828</v>
      </c>
      <c r="D117" s="11">
        <v>20946</v>
      </c>
      <c r="E117" s="266">
        <f t="shared" si="60"/>
        <v>9209.18</v>
      </c>
      <c r="F117" s="266">
        <f t="shared" si="60"/>
        <v>11946.28</v>
      </c>
      <c r="G117" s="266">
        <f t="shared" si="60"/>
        <v>21155.46</v>
      </c>
      <c r="H117" s="266">
        <f t="shared" si="61"/>
        <v>9301.2718000000004</v>
      </c>
      <c r="I117" s="266">
        <f t="shared" si="61"/>
        <v>12065.7428</v>
      </c>
      <c r="J117" s="266">
        <f t="shared" si="61"/>
        <v>21367.014599999999</v>
      </c>
      <c r="K117" s="266">
        <f t="shared" si="62"/>
        <v>9394.2845179999986</v>
      </c>
      <c r="L117" s="266">
        <f t="shared" si="62"/>
        <v>12186.400227999999</v>
      </c>
      <c r="M117" s="266">
        <f t="shared" si="62"/>
        <v>21580.684745999999</v>
      </c>
      <c r="N117" s="266">
        <f t="shared" si="63"/>
        <v>9488.2273631799999</v>
      </c>
      <c r="O117" s="266">
        <f t="shared" si="63"/>
        <v>12308.26423028</v>
      </c>
      <c r="P117" s="266">
        <f t="shared" si="63"/>
        <v>21796.491593459999</v>
      </c>
      <c r="Q117" s="266">
        <f t="shared" si="64"/>
        <v>9583.1096368117996</v>
      </c>
      <c r="R117" s="266">
        <f t="shared" si="64"/>
        <v>12431.346872582799</v>
      </c>
      <c r="S117" s="266">
        <f t="shared" si="64"/>
        <v>22014.456509394597</v>
      </c>
      <c r="T117" s="266">
        <f t="shared" si="65"/>
        <v>9678.9407331799193</v>
      </c>
      <c r="U117" s="266">
        <f t="shared" si="65"/>
        <v>12555.66034130863</v>
      </c>
      <c r="V117" s="266">
        <f t="shared" si="65"/>
        <v>22234.60107448855</v>
      </c>
      <c r="W117" s="266">
        <f t="shared" si="66"/>
        <v>9775.7301405117159</v>
      </c>
      <c r="X117" s="266">
        <f t="shared" si="67"/>
        <v>23368.789189251715</v>
      </c>
      <c r="Y117" s="266">
        <f t="shared" si="68"/>
        <v>12681.216944721713</v>
      </c>
      <c r="Z117" s="267">
        <f t="shared" si="69"/>
        <v>9873.4874419168355</v>
      </c>
      <c r="AA117" s="267">
        <f t="shared" si="69"/>
        <v>12808.029114168932</v>
      </c>
      <c r="AB117" s="267">
        <f t="shared" si="69"/>
        <v>22681.516556085768</v>
      </c>
      <c r="AC117" s="266">
        <f t="shared" si="70"/>
        <v>9972.222316336005</v>
      </c>
      <c r="AD117" s="266">
        <f t="shared" si="70"/>
        <v>12936.109405310623</v>
      </c>
      <c r="AE117" s="266">
        <f t="shared" si="70"/>
        <v>22908.331721646628</v>
      </c>
      <c r="AF117" s="266">
        <f t="shared" si="71"/>
        <v>10071.944539499365</v>
      </c>
      <c r="AG117" s="268">
        <f t="shared" si="71"/>
        <v>13065.47049936373</v>
      </c>
      <c r="AH117" s="266">
        <f t="shared" si="71"/>
        <v>23137.415038863095</v>
      </c>
    </row>
    <row r="118" spans="1:45" x14ac:dyDescent="0.25">
      <c r="A118" s="11" t="s">
        <v>599</v>
      </c>
      <c r="B118" s="11">
        <v>8999</v>
      </c>
      <c r="C118" s="11">
        <v>14266</v>
      </c>
      <c r="D118" s="11">
        <v>23265</v>
      </c>
      <c r="E118" s="266">
        <f t="shared" si="60"/>
        <v>9088.99</v>
      </c>
      <c r="F118" s="266">
        <f t="shared" si="60"/>
        <v>14408.66</v>
      </c>
      <c r="G118" s="266">
        <f t="shared" si="60"/>
        <v>23497.65</v>
      </c>
      <c r="H118" s="266">
        <f t="shared" si="61"/>
        <v>9179.8798999999999</v>
      </c>
      <c r="I118" s="266">
        <f t="shared" si="61"/>
        <v>14552.7466</v>
      </c>
      <c r="J118" s="266">
        <f t="shared" si="61"/>
        <v>23732.626499999998</v>
      </c>
      <c r="K118" s="266">
        <f t="shared" si="62"/>
        <v>9271.6786990000001</v>
      </c>
      <c r="L118" s="266">
        <f t="shared" si="62"/>
        <v>14698.274065999998</v>
      </c>
      <c r="M118" s="266">
        <f t="shared" si="62"/>
        <v>23969.952764999998</v>
      </c>
      <c r="N118" s="266">
        <f t="shared" si="63"/>
        <v>9364.3954859900005</v>
      </c>
      <c r="O118" s="266">
        <f t="shared" si="63"/>
        <v>14845.25680666</v>
      </c>
      <c r="P118" s="266">
        <f t="shared" si="63"/>
        <v>24209.65229265</v>
      </c>
      <c r="Q118" s="266">
        <f t="shared" si="64"/>
        <v>9458.0394408498996</v>
      </c>
      <c r="R118" s="266">
        <f t="shared" si="64"/>
        <v>14993.709374726599</v>
      </c>
      <c r="S118" s="266">
        <f t="shared" si="64"/>
        <v>24451.748815576499</v>
      </c>
      <c r="T118" s="266">
        <f t="shared" si="65"/>
        <v>9552.6198352583997</v>
      </c>
      <c r="U118" s="266">
        <f t="shared" si="65"/>
        <v>15143.646468473868</v>
      </c>
      <c r="V118" s="266">
        <f t="shared" si="65"/>
        <v>24696.266303732267</v>
      </c>
      <c r="W118" s="266">
        <f t="shared" si="66"/>
        <v>9648.1460336109812</v>
      </c>
      <c r="X118" s="266">
        <f t="shared" si="67"/>
        <v>25956.024085168585</v>
      </c>
      <c r="Y118" s="266">
        <f t="shared" si="68"/>
        <v>15295.082933158603</v>
      </c>
      <c r="Z118" s="267">
        <f t="shared" si="69"/>
        <v>9744.6274939470932</v>
      </c>
      <c r="AA118" s="267">
        <f t="shared" si="69"/>
        <v>15448.033762490193</v>
      </c>
      <c r="AB118" s="267">
        <f t="shared" si="69"/>
        <v>25192.661256437288</v>
      </c>
      <c r="AC118" s="266">
        <f t="shared" si="70"/>
        <v>9842.0737688865647</v>
      </c>
      <c r="AD118" s="266">
        <f t="shared" si="70"/>
        <v>15602.514100115095</v>
      </c>
      <c r="AE118" s="266">
        <f t="shared" si="70"/>
        <v>25444.587869001662</v>
      </c>
      <c r="AF118" s="266">
        <f t="shared" si="71"/>
        <v>9940.4945065754309</v>
      </c>
      <c r="AG118" s="268">
        <f t="shared" si="71"/>
        <v>15758.539241116247</v>
      </c>
      <c r="AH118" s="266">
        <f t="shared" si="71"/>
        <v>25699.033747691679</v>
      </c>
    </row>
    <row r="119" spans="1:45" x14ac:dyDescent="0.25">
      <c r="A119" s="11" t="s">
        <v>600</v>
      </c>
      <c r="B119" s="11">
        <v>7988</v>
      </c>
      <c r="C119" s="11">
        <v>10778</v>
      </c>
      <c r="D119" s="11">
        <v>18766</v>
      </c>
      <c r="E119" s="266">
        <f t="shared" si="60"/>
        <v>8067.88</v>
      </c>
      <c r="F119" s="266">
        <f t="shared" si="60"/>
        <v>10885.78</v>
      </c>
      <c r="G119" s="266">
        <f t="shared" si="60"/>
        <v>18953.66</v>
      </c>
      <c r="H119" s="266">
        <f t="shared" si="61"/>
        <v>8148.5587999999998</v>
      </c>
      <c r="I119" s="266">
        <f t="shared" si="61"/>
        <v>10994.6378</v>
      </c>
      <c r="J119" s="266">
        <f t="shared" si="61"/>
        <v>19143.196599999999</v>
      </c>
      <c r="K119" s="266">
        <f t="shared" si="62"/>
        <v>8230.0443879999984</v>
      </c>
      <c r="L119" s="266">
        <f t="shared" si="62"/>
        <v>11104.584177999999</v>
      </c>
      <c r="M119" s="266">
        <f t="shared" si="62"/>
        <v>19334.628565999999</v>
      </c>
      <c r="N119" s="266">
        <f t="shared" si="63"/>
        <v>8312.3448318800001</v>
      </c>
      <c r="O119" s="266">
        <f t="shared" si="63"/>
        <v>11215.630019780001</v>
      </c>
      <c r="P119" s="266">
        <f t="shared" si="63"/>
        <v>19527.974851660001</v>
      </c>
      <c r="Q119" s="266">
        <f t="shared" si="64"/>
        <v>8395.4682801988001</v>
      </c>
      <c r="R119" s="266">
        <f t="shared" si="64"/>
        <v>11327.786319977798</v>
      </c>
      <c r="S119" s="266">
        <f t="shared" si="64"/>
        <v>19723.254600176599</v>
      </c>
      <c r="T119" s="266">
        <f t="shared" si="65"/>
        <v>8479.4229630007885</v>
      </c>
      <c r="U119" s="266">
        <f t="shared" si="65"/>
        <v>11441.064183177579</v>
      </c>
      <c r="V119" s="266">
        <f t="shared" si="65"/>
        <v>19920.48714617837</v>
      </c>
      <c r="W119" s="266">
        <f t="shared" si="66"/>
        <v>8564.2171926307947</v>
      </c>
      <c r="X119" s="266">
        <f t="shared" si="67"/>
        <v>20936.632193521327</v>
      </c>
      <c r="Y119" s="266">
        <f t="shared" si="68"/>
        <v>11555.474825009353</v>
      </c>
      <c r="Z119" s="267">
        <f t="shared" si="69"/>
        <v>8649.8593645571054</v>
      </c>
      <c r="AA119" s="267">
        <f t="shared" si="69"/>
        <v>11671.02957325945</v>
      </c>
      <c r="AB119" s="267">
        <f t="shared" si="69"/>
        <v>20320.888937816555</v>
      </c>
      <c r="AC119" s="266">
        <f t="shared" si="70"/>
        <v>8736.3579582026759</v>
      </c>
      <c r="AD119" s="266">
        <f t="shared" si="70"/>
        <v>11787.739868992045</v>
      </c>
      <c r="AE119" s="266">
        <f t="shared" si="70"/>
        <v>20524.097827194721</v>
      </c>
      <c r="AF119" s="266">
        <f t="shared" si="71"/>
        <v>8823.7215377847042</v>
      </c>
      <c r="AG119" s="268">
        <f t="shared" si="71"/>
        <v>11905.617267681964</v>
      </c>
      <c r="AH119" s="266">
        <f t="shared" si="71"/>
        <v>20729.338805466668</v>
      </c>
    </row>
    <row r="120" spans="1:45" x14ac:dyDescent="0.25">
      <c r="A120" s="11" t="s">
        <v>601</v>
      </c>
      <c r="B120" s="11">
        <v>6211</v>
      </c>
      <c r="C120" s="11">
        <v>8172</v>
      </c>
      <c r="D120" s="11">
        <v>14383</v>
      </c>
      <c r="E120" s="266">
        <f t="shared" si="60"/>
        <v>6273.11</v>
      </c>
      <c r="F120" s="266">
        <f t="shared" si="60"/>
        <v>8253.7199999999993</v>
      </c>
      <c r="G120" s="266">
        <f t="shared" si="60"/>
        <v>14526.83</v>
      </c>
      <c r="H120" s="266">
        <f t="shared" si="61"/>
        <v>6335.8410999999996</v>
      </c>
      <c r="I120" s="266">
        <f t="shared" si="61"/>
        <v>8336.2572</v>
      </c>
      <c r="J120" s="266">
        <f t="shared" si="61"/>
        <v>14672.0983</v>
      </c>
      <c r="K120" s="266">
        <f t="shared" si="62"/>
        <v>6399.1995109999998</v>
      </c>
      <c r="L120" s="266">
        <f t="shared" si="62"/>
        <v>8419.619772</v>
      </c>
      <c r="M120" s="266">
        <f t="shared" si="62"/>
        <v>14818.819282999999</v>
      </c>
      <c r="N120" s="266">
        <f t="shared" si="63"/>
        <v>6463.1915061099999</v>
      </c>
      <c r="O120" s="266">
        <f t="shared" si="63"/>
        <v>8503.8159697200008</v>
      </c>
      <c r="P120" s="266">
        <f t="shared" si="63"/>
        <v>14967.00747583</v>
      </c>
      <c r="Q120" s="266">
        <f t="shared" si="64"/>
        <v>6527.8234211710997</v>
      </c>
      <c r="R120" s="266">
        <f t="shared" si="64"/>
        <v>8588.8541294171991</v>
      </c>
      <c r="S120" s="266">
        <f t="shared" si="64"/>
        <v>15116.6775505883</v>
      </c>
      <c r="T120" s="266">
        <f t="shared" si="65"/>
        <v>6593.1016553828122</v>
      </c>
      <c r="U120" s="266">
        <f t="shared" si="65"/>
        <v>8674.7426707113736</v>
      </c>
      <c r="V120" s="266">
        <f t="shared" si="65"/>
        <v>15267.844326094186</v>
      </c>
      <c r="W120" s="266">
        <f t="shared" si="66"/>
        <v>6659.0326719366385</v>
      </c>
      <c r="X120" s="266">
        <f t="shared" si="67"/>
        <v>16046.657830087246</v>
      </c>
      <c r="Y120" s="266">
        <f t="shared" si="68"/>
        <v>8761.4900974184839</v>
      </c>
      <c r="Z120" s="267">
        <f t="shared" si="69"/>
        <v>6725.6229986560065</v>
      </c>
      <c r="AA120" s="267">
        <f t="shared" si="69"/>
        <v>8849.1049983926714</v>
      </c>
      <c r="AB120" s="267">
        <f t="shared" si="69"/>
        <v>15574.727997048678</v>
      </c>
      <c r="AC120" s="266">
        <f t="shared" si="70"/>
        <v>6792.8792286425669</v>
      </c>
      <c r="AD120" s="266">
        <f t="shared" si="70"/>
        <v>8937.5960483765994</v>
      </c>
      <c r="AE120" s="266">
        <f t="shared" si="70"/>
        <v>15730.475277019166</v>
      </c>
      <c r="AF120" s="266">
        <f t="shared" si="71"/>
        <v>6860.8080209289928</v>
      </c>
      <c r="AG120" s="268">
        <f t="shared" si="71"/>
        <v>9026.9720088603644</v>
      </c>
      <c r="AH120" s="266">
        <f t="shared" si="71"/>
        <v>15887.780029789357</v>
      </c>
    </row>
    <row r="121" spans="1:45" x14ac:dyDescent="0.25">
      <c r="A121" s="11" t="s">
        <v>602</v>
      </c>
      <c r="B121" s="11">
        <v>4912</v>
      </c>
      <c r="C121" s="11">
        <v>6754</v>
      </c>
      <c r="D121" s="11">
        <v>11666</v>
      </c>
      <c r="E121" s="266">
        <f t="shared" si="60"/>
        <v>4961.12</v>
      </c>
      <c r="F121" s="266">
        <f t="shared" si="60"/>
        <v>6821.54</v>
      </c>
      <c r="G121" s="266">
        <f t="shared" si="60"/>
        <v>11782.66</v>
      </c>
      <c r="H121" s="266">
        <f t="shared" si="61"/>
        <v>5010.7312000000002</v>
      </c>
      <c r="I121" s="266">
        <f t="shared" si="61"/>
        <v>6889.7554</v>
      </c>
      <c r="J121" s="266">
        <f t="shared" si="61"/>
        <v>11900.4866</v>
      </c>
      <c r="K121" s="266">
        <f t="shared" si="62"/>
        <v>5060.8385119999994</v>
      </c>
      <c r="L121" s="266">
        <f t="shared" si="62"/>
        <v>6958.6529539999992</v>
      </c>
      <c r="M121" s="266">
        <f t="shared" si="62"/>
        <v>12019.491465999999</v>
      </c>
      <c r="N121" s="266">
        <f t="shared" si="63"/>
        <v>5111.4468971200004</v>
      </c>
      <c r="O121" s="266">
        <f t="shared" si="63"/>
        <v>7028.23948354</v>
      </c>
      <c r="P121" s="266">
        <f t="shared" si="63"/>
        <v>12139.686380659999</v>
      </c>
      <c r="Q121" s="266">
        <f t="shared" si="64"/>
        <v>5162.5613660911995</v>
      </c>
      <c r="R121" s="266">
        <f t="shared" si="64"/>
        <v>7098.5218783753999</v>
      </c>
      <c r="S121" s="266">
        <f t="shared" si="64"/>
        <v>12261.083244466599</v>
      </c>
      <c r="T121" s="266">
        <f t="shared" si="65"/>
        <v>5214.1869797521131</v>
      </c>
      <c r="U121" s="266">
        <f t="shared" si="65"/>
        <v>7169.5070971591549</v>
      </c>
      <c r="V121" s="266">
        <f t="shared" si="65"/>
        <v>12383.694076911268</v>
      </c>
      <c r="W121" s="266">
        <f t="shared" si="66"/>
        <v>5266.3288495496327</v>
      </c>
      <c r="X121" s="266">
        <f t="shared" si="67"/>
        <v>13015.38693219758</v>
      </c>
      <c r="Y121" s="266">
        <f t="shared" si="68"/>
        <v>7241.2021681307442</v>
      </c>
      <c r="Z121" s="267">
        <f t="shared" si="69"/>
        <v>5318.9921380451296</v>
      </c>
      <c r="AA121" s="267">
        <f t="shared" si="69"/>
        <v>7313.6141898120541</v>
      </c>
      <c r="AB121" s="267">
        <f t="shared" si="69"/>
        <v>12632.606327857184</v>
      </c>
      <c r="AC121" s="266">
        <f t="shared" si="70"/>
        <v>5372.1820594255814</v>
      </c>
      <c r="AD121" s="266">
        <f t="shared" si="70"/>
        <v>7386.7503317101746</v>
      </c>
      <c r="AE121" s="266">
        <f t="shared" si="70"/>
        <v>12758.932391135757</v>
      </c>
      <c r="AF121" s="266">
        <f t="shared" si="71"/>
        <v>5425.9038800198377</v>
      </c>
      <c r="AG121" s="268">
        <f t="shared" si="71"/>
        <v>7460.6178350272767</v>
      </c>
      <c r="AH121" s="266">
        <f t="shared" si="71"/>
        <v>12886.521715047114</v>
      </c>
    </row>
    <row r="122" spans="1:45" x14ac:dyDescent="0.25">
      <c r="A122" s="11" t="s">
        <v>603</v>
      </c>
      <c r="B122" s="11">
        <v>4108</v>
      </c>
      <c r="C122" s="11">
        <v>5164</v>
      </c>
      <c r="D122" s="11">
        <v>9272</v>
      </c>
      <c r="E122" s="266">
        <f t="shared" si="60"/>
        <v>4149.08</v>
      </c>
      <c r="F122" s="266">
        <f t="shared" si="60"/>
        <v>5215.6400000000003</v>
      </c>
      <c r="G122" s="266">
        <f t="shared" si="60"/>
        <v>9364.7199999999993</v>
      </c>
      <c r="H122" s="266">
        <f t="shared" si="61"/>
        <v>4190.5708000000004</v>
      </c>
      <c r="I122" s="266">
        <f t="shared" si="61"/>
        <v>5267.7964000000002</v>
      </c>
      <c r="J122" s="266">
        <f t="shared" si="61"/>
        <v>9458.3672000000006</v>
      </c>
      <c r="K122" s="266">
        <f t="shared" si="62"/>
        <v>4232.4765079999997</v>
      </c>
      <c r="L122" s="266">
        <f t="shared" si="62"/>
        <v>5320.4743639999997</v>
      </c>
      <c r="M122" s="266">
        <f t="shared" si="62"/>
        <v>9552.9508719999994</v>
      </c>
      <c r="N122" s="266">
        <f t="shared" si="63"/>
        <v>4274.8012730800001</v>
      </c>
      <c r="O122" s="266">
        <f t="shared" si="63"/>
        <v>5373.6791076400004</v>
      </c>
      <c r="P122" s="266">
        <f t="shared" si="63"/>
        <v>9648.4803807200005</v>
      </c>
      <c r="Q122" s="266">
        <f t="shared" si="64"/>
        <v>4317.5492858108</v>
      </c>
      <c r="R122" s="266">
        <f t="shared" si="64"/>
        <v>5427.4158987163992</v>
      </c>
      <c r="S122" s="266">
        <f t="shared" si="64"/>
        <v>9744.9651845272001</v>
      </c>
      <c r="T122" s="266">
        <f t="shared" si="65"/>
        <v>4360.7247786689086</v>
      </c>
      <c r="U122" s="266">
        <f t="shared" si="65"/>
        <v>5481.6900577035649</v>
      </c>
      <c r="V122" s="266">
        <f t="shared" si="65"/>
        <v>9842.4148363724726</v>
      </c>
      <c r="W122" s="266">
        <f t="shared" si="66"/>
        <v>4404.332026455596</v>
      </c>
      <c r="X122" s="266">
        <f t="shared" si="67"/>
        <v>10344.476910280813</v>
      </c>
      <c r="Y122" s="266">
        <f t="shared" si="68"/>
        <v>5536.5069582805991</v>
      </c>
      <c r="Z122" s="267">
        <f t="shared" si="69"/>
        <v>4448.3753467201532</v>
      </c>
      <c r="AA122" s="267">
        <f t="shared" si="69"/>
        <v>5591.8720278634064</v>
      </c>
      <c r="AB122" s="267">
        <f t="shared" si="69"/>
        <v>10040.24737458356</v>
      </c>
      <c r="AC122" s="266">
        <f t="shared" si="70"/>
        <v>4492.8591001873556</v>
      </c>
      <c r="AD122" s="266">
        <f t="shared" si="70"/>
        <v>5647.7907481420407</v>
      </c>
      <c r="AE122" s="266">
        <f t="shared" si="70"/>
        <v>10140.649848329396</v>
      </c>
      <c r="AF122" s="266">
        <f t="shared" si="71"/>
        <v>4537.787691189229</v>
      </c>
      <c r="AG122" s="268">
        <f t="shared" si="71"/>
        <v>5704.2686556234612</v>
      </c>
      <c r="AH122" s="266">
        <f t="shared" si="71"/>
        <v>10242.056346812691</v>
      </c>
    </row>
    <row r="123" spans="1:45" x14ac:dyDescent="0.25">
      <c r="A123" s="11" t="s">
        <v>604</v>
      </c>
      <c r="B123" s="11">
        <v>6814</v>
      </c>
      <c r="C123" s="11">
        <v>9766</v>
      </c>
      <c r="D123" s="11">
        <v>16580</v>
      </c>
      <c r="E123" s="266">
        <f t="shared" si="60"/>
        <v>6882.14</v>
      </c>
      <c r="F123" s="266">
        <f t="shared" si="60"/>
        <v>9863.66</v>
      </c>
      <c r="G123" s="266">
        <f t="shared" si="60"/>
        <v>16745.8</v>
      </c>
      <c r="H123" s="266">
        <f t="shared" si="61"/>
        <v>6950.9614000000001</v>
      </c>
      <c r="I123" s="266">
        <f t="shared" si="61"/>
        <v>9962.2965999999997</v>
      </c>
      <c r="J123" s="266">
        <f t="shared" si="61"/>
        <v>16913.258000000002</v>
      </c>
      <c r="K123" s="266">
        <f t="shared" si="62"/>
        <v>7020.4710139999997</v>
      </c>
      <c r="L123" s="266">
        <f t="shared" si="62"/>
        <v>10061.919565999999</v>
      </c>
      <c r="M123" s="266">
        <f t="shared" si="62"/>
        <v>17082.390579999999</v>
      </c>
      <c r="N123" s="266">
        <f t="shared" si="63"/>
        <v>7090.6757241400001</v>
      </c>
      <c r="O123" s="266">
        <f t="shared" si="63"/>
        <v>10162.53876166</v>
      </c>
      <c r="P123" s="266">
        <f t="shared" si="63"/>
        <v>17253.214485799999</v>
      </c>
      <c r="Q123" s="266">
        <f t="shared" si="64"/>
        <v>7161.5824813813997</v>
      </c>
      <c r="R123" s="266">
        <f t="shared" si="64"/>
        <v>10264.164149276599</v>
      </c>
      <c r="S123" s="266">
        <f t="shared" si="64"/>
        <v>17425.746630657999</v>
      </c>
      <c r="T123" s="266">
        <f t="shared" si="65"/>
        <v>7233.1983061952151</v>
      </c>
      <c r="U123" s="266">
        <f t="shared" si="65"/>
        <v>10366.805790769367</v>
      </c>
      <c r="V123" s="266">
        <f t="shared" si="65"/>
        <v>17600.004096964582</v>
      </c>
      <c r="W123" s="266">
        <f t="shared" si="66"/>
        <v>7305.5302892571654</v>
      </c>
      <c r="X123" s="266">
        <f t="shared" si="67"/>
        <v>18497.781187710945</v>
      </c>
      <c r="Y123" s="266">
        <f t="shared" si="68"/>
        <v>10470.473848677058</v>
      </c>
      <c r="Z123" s="267">
        <f t="shared" si="69"/>
        <v>7378.5855921497387</v>
      </c>
      <c r="AA123" s="267">
        <f t="shared" si="69"/>
        <v>10575.178587163831</v>
      </c>
      <c r="AB123" s="267">
        <f t="shared" si="69"/>
        <v>17953.76417931357</v>
      </c>
      <c r="AC123" s="266">
        <f t="shared" si="70"/>
        <v>7452.371448071237</v>
      </c>
      <c r="AD123" s="266">
        <f t="shared" si="70"/>
        <v>10680.930373035471</v>
      </c>
      <c r="AE123" s="266">
        <f t="shared" si="70"/>
        <v>18133.301821106706</v>
      </c>
      <c r="AF123" s="266">
        <f t="shared" si="71"/>
        <v>7526.8951625519494</v>
      </c>
      <c r="AG123" s="268">
        <f t="shared" si="71"/>
        <v>10787.739676765825</v>
      </c>
      <c r="AH123" s="266">
        <f t="shared" si="71"/>
        <v>18314.634839317776</v>
      </c>
    </row>
    <row r="124" spans="1:45" x14ac:dyDescent="0.25">
      <c r="A124" s="11" t="s">
        <v>605</v>
      </c>
      <c r="B124" s="11">
        <v>1444</v>
      </c>
      <c r="C124" s="11">
        <v>1306</v>
      </c>
      <c r="D124" s="11">
        <v>2750</v>
      </c>
      <c r="E124" s="266">
        <f t="shared" si="60"/>
        <v>1458.44</v>
      </c>
      <c r="F124" s="266">
        <f t="shared" si="60"/>
        <v>1319.06</v>
      </c>
      <c r="G124" s="266">
        <f t="shared" si="60"/>
        <v>2777.5</v>
      </c>
      <c r="H124" s="266">
        <f t="shared" si="61"/>
        <v>1473.0244</v>
      </c>
      <c r="I124" s="266">
        <f t="shared" si="61"/>
        <v>1332.2506000000001</v>
      </c>
      <c r="J124" s="266">
        <f t="shared" si="61"/>
        <v>2805.2750000000001</v>
      </c>
      <c r="K124" s="266">
        <f t="shared" si="62"/>
        <v>1487.7546439999999</v>
      </c>
      <c r="L124" s="266">
        <f t="shared" si="62"/>
        <v>1345.5731059999998</v>
      </c>
      <c r="M124" s="266">
        <f t="shared" si="62"/>
        <v>2833.3277499999999</v>
      </c>
      <c r="N124" s="266">
        <f t="shared" si="63"/>
        <v>1502.6321904399999</v>
      </c>
      <c r="O124" s="266">
        <f t="shared" si="63"/>
        <v>1359.0288370600001</v>
      </c>
      <c r="P124" s="266">
        <f t="shared" si="63"/>
        <v>2861.6610275000003</v>
      </c>
      <c r="Q124" s="266">
        <f t="shared" si="64"/>
        <v>1517.6585123443999</v>
      </c>
      <c r="R124" s="266">
        <f t="shared" si="64"/>
        <v>1372.6191254306</v>
      </c>
      <c r="S124" s="266">
        <f t="shared" si="64"/>
        <v>2890.2776377749997</v>
      </c>
      <c r="T124" s="266">
        <f t="shared" si="65"/>
        <v>1532.8350974678442</v>
      </c>
      <c r="U124" s="266">
        <f t="shared" si="65"/>
        <v>1386.3453166849063</v>
      </c>
      <c r="V124" s="266">
        <f t="shared" si="65"/>
        <v>2919.1804141527505</v>
      </c>
      <c r="W124" s="266">
        <f t="shared" si="66"/>
        <v>1548.1634484425222</v>
      </c>
      <c r="X124" s="266">
        <f t="shared" si="67"/>
        <v>3068.0879533296202</v>
      </c>
      <c r="Y124" s="266">
        <f t="shared" si="68"/>
        <v>1400.2087698517548</v>
      </c>
      <c r="Z124" s="267">
        <f t="shared" si="69"/>
        <v>1563.6450829269479</v>
      </c>
      <c r="AA124" s="267">
        <f t="shared" si="69"/>
        <v>1414.2108575502727</v>
      </c>
      <c r="AB124" s="267">
        <f t="shared" si="69"/>
        <v>2977.8559404772204</v>
      </c>
      <c r="AC124" s="266">
        <f t="shared" si="70"/>
        <v>1579.2815337562174</v>
      </c>
      <c r="AD124" s="266">
        <f t="shared" si="70"/>
        <v>1428.3529661257755</v>
      </c>
      <c r="AE124" s="266">
        <f t="shared" si="70"/>
        <v>3007.6344998819932</v>
      </c>
      <c r="AF124" s="266">
        <f t="shared" si="71"/>
        <v>1595.0743490937796</v>
      </c>
      <c r="AG124" s="268">
        <f t="shared" si="71"/>
        <v>1442.6364957870335</v>
      </c>
      <c r="AH124" s="266">
        <f t="shared" si="71"/>
        <v>3037.7108448808131</v>
      </c>
    </row>
    <row r="125" spans="1:45" x14ac:dyDescent="0.25">
      <c r="A125" s="263" t="s">
        <v>2</v>
      </c>
      <c r="B125" s="263">
        <v>360776</v>
      </c>
      <c r="C125" s="263">
        <v>388241</v>
      </c>
      <c r="D125" s="263">
        <v>749017</v>
      </c>
      <c r="E125" s="270">
        <f t="shared" si="60"/>
        <v>364383.76</v>
      </c>
      <c r="F125" s="270">
        <f t="shared" si="60"/>
        <v>392123.41</v>
      </c>
      <c r="G125" s="270">
        <f t="shared" si="60"/>
        <v>756507.17</v>
      </c>
      <c r="H125" s="270">
        <f t="shared" si="61"/>
        <v>368027.59759999998</v>
      </c>
      <c r="I125" s="270">
        <f t="shared" si="61"/>
        <v>396044.64409999998</v>
      </c>
      <c r="J125" s="270">
        <f t="shared" si="61"/>
        <v>764072.24170000001</v>
      </c>
      <c r="K125" s="270">
        <f t="shared" si="62"/>
        <v>371707.87357599998</v>
      </c>
      <c r="L125" s="270">
        <f t="shared" si="62"/>
        <v>400005.09054099995</v>
      </c>
      <c r="M125" s="270">
        <f t="shared" si="62"/>
        <v>771712.96411699988</v>
      </c>
      <c r="N125" s="270">
        <f t="shared" si="63"/>
        <v>375424.95231175999</v>
      </c>
      <c r="O125" s="270">
        <f t="shared" si="63"/>
        <v>404005.14144641004</v>
      </c>
      <c r="P125" s="270">
        <f t="shared" si="63"/>
        <v>779430.09375817003</v>
      </c>
      <c r="Q125" s="270">
        <f t="shared" si="64"/>
        <v>379179.20183487755</v>
      </c>
      <c r="R125" s="270">
        <f t="shared" si="64"/>
        <v>408045.19286087406</v>
      </c>
      <c r="S125" s="270">
        <f t="shared" si="64"/>
        <v>787224.3946957516</v>
      </c>
      <c r="T125" s="270">
        <f t="shared" si="65"/>
        <v>382970.99385322642</v>
      </c>
      <c r="U125" s="270">
        <f t="shared" si="65"/>
        <v>412125.64478948287</v>
      </c>
      <c r="V125" s="270">
        <f t="shared" si="65"/>
        <v>795096.63864270935</v>
      </c>
      <c r="W125" s="270">
        <f t="shared" si="66"/>
        <v>386800.70379175857</v>
      </c>
      <c r="X125" s="270">
        <f t="shared" si="67"/>
        <v>835654.55801421532</v>
      </c>
      <c r="Y125" s="270">
        <f t="shared" si="68"/>
        <v>416246.90123737761</v>
      </c>
      <c r="Z125" s="271">
        <f t="shared" si="69"/>
        <v>390668.71082967625</v>
      </c>
      <c r="AA125" s="271">
        <f t="shared" si="69"/>
        <v>420409.37024975149</v>
      </c>
      <c r="AB125" s="271">
        <f t="shared" si="69"/>
        <v>811078.08107942773</v>
      </c>
      <c r="AC125" s="270">
        <f t="shared" si="70"/>
        <v>394575.39793797309</v>
      </c>
      <c r="AD125" s="270">
        <f t="shared" si="70"/>
        <v>424613.46395224903</v>
      </c>
      <c r="AE125" s="270">
        <f t="shared" si="70"/>
        <v>819188.86189022206</v>
      </c>
      <c r="AF125" s="270">
        <f t="shared" si="71"/>
        <v>398521.15191735281</v>
      </c>
      <c r="AG125" s="272">
        <f t="shared" si="71"/>
        <v>428859.59859177156</v>
      </c>
      <c r="AH125" s="270">
        <f t="shared" si="71"/>
        <v>827380.75050912437</v>
      </c>
    </row>
    <row r="126" spans="1:45" x14ac:dyDescent="0.25">
      <c r="A126" s="279"/>
      <c r="B126" s="279"/>
      <c r="C126" s="279"/>
      <c r="D126" s="279"/>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1"/>
      <c r="AA126" s="282"/>
      <c r="AB126" s="282"/>
      <c r="AC126" s="280"/>
      <c r="AD126" s="280"/>
      <c r="AE126" s="280"/>
      <c r="AF126" s="280"/>
      <c r="AG126" s="280"/>
      <c r="AH126" s="280"/>
    </row>
    <row r="127" spans="1:45" x14ac:dyDescent="0.25">
      <c r="A127" s="263" t="s">
        <v>613</v>
      </c>
      <c r="B127" s="273"/>
      <c r="C127" s="283">
        <v>2012</v>
      </c>
      <c r="D127" s="275"/>
      <c r="E127" s="351">
        <v>2013</v>
      </c>
      <c r="F127" s="352"/>
      <c r="G127" s="353"/>
      <c r="H127" s="351">
        <v>2014</v>
      </c>
      <c r="I127" s="352"/>
      <c r="J127" s="353"/>
      <c r="K127" s="351">
        <v>2015</v>
      </c>
      <c r="L127" s="352"/>
      <c r="M127" s="353"/>
      <c r="N127" s="351">
        <v>2016</v>
      </c>
      <c r="O127" s="352"/>
      <c r="P127" s="353"/>
      <c r="Q127" s="351">
        <v>2017</v>
      </c>
      <c r="R127" s="352"/>
      <c r="S127" s="353"/>
      <c r="T127" s="351">
        <v>2018</v>
      </c>
      <c r="U127" s="352"/>
      <c r="V127" s="353"/>
      <c r="W127" s="351">
        <v>2019</v>
      </c>
      <c r="X127" s="352"/>
      <c r="Y127" s="353"/>
      <c r="Z127" s="354">
        <v>2020</v>
      </c>
      <c r="AA127" s="355"/>
      <c r="AB127" s="356"/>
      <c r="AC127" s="351">
        <v>2021</v>
      </c>
      <c r="AD127" s="352"/>
      <c r="AE127" s="353"/>
      <c r="AF127" s="351">
        <v>2022</v>
      </c>
      <c r="AG127" s="352"/>
      <c r="AH127" s="353"/>
    </row>
    <row r="128" spans="1:45" x14ac:dyDescent="0.25">
      <c r="A128" s="263" t="s">
        <v>607</v>
      </c>
      <c r="B128" s="264" t="s">
        <v>582</v>
      </c>
      <c r="C128" s="264" t="s">
        <v>583</v>
      </c>
      <c r="D128" s="264" t="s">
        <v>2</v>
      </c>
      <c r="E128" s="264" t="s">
        <v>582</v>
      </c>
      <c r="F128" s="264" t="s">
        <v>583</v>
      </c>
      <c r="G128" s="264" t="s">
        <v>2</v>
      </c>
      <c r="H128" s="264" t="s">
        <v>582</v>
      </c>
      <c r="I128" s="264" t="s">
        <v>583</v>
      </c>
      <c r="J128" s="264" t="s">
        <v>2</v>
      </c>
      <c r="K128" s="264" t="s">
        <v>582</v>
      </c>
      <c r="L128" s="264" t="s">
        <v>583</v>
      </c>
      <c r="M128" s="264" t="s">
        <v>2</v>
      </c>
      <c r="N128" s="264" t="s">
        <v>582</v>
      </c>
      <c r="O128" s="264" t="s">
        <v>583</v>
      </c>
      <c r="P128" s="264" t="s">
        <v>2</v>
      </c>
      <c r="Q128" s="264" t="s">
        <v>582</v>
      </c>
      <c r="R128" s="264" t="s">
        <v>583</v>
      </c>
      <c r="S128" s="264" t="s">
        <v>2</v>
      </c>
      <c r="T128" s="264" t="s">
        <v>582</v>
      </c>
      <c r="U128" s="264" t="s">
        <v>583</v>
      </c>
      <c r="V128" s="264" t="s">
        <v>2</v>
      </c>
      <c r="W128" s="264" t="s">
        <v>582</v>
      </c>
      <c r="X128" s="264" t="s">
        <v>583</v>
      </c>
      <c r="Y128" s="264" t="s">
        <v>2</v>
      </c>
      <c r="Z128" s="265" t="s">
        <v>582</v>
      </c>
      <c r="AA128" s="265" t="s">
        <v>583</v>
      </c>
      <c r="AB128" s="265" t="s">
        <v>2</v>
      </c>
      <c r="AC128" s="264" t="s">
        <v>582</v>
      </c>
      <c r="AD128" s="264" t="s">
        <v>583</v>
      </c>
      <c r="AE128" s="264" t="s">
        <v>2</v>
      </c>
      <c r="AF128" s="264" t="s">
        <v>582</v>
      </c>
      <c r="AG128" s="264" t="s">
        <v>583</v>
      </c>
      <c r="AH128" s="264" t="s">
        <v>2</v>
      </c>
      <c r="AI128" t="s">
        <v>3</v>
      </c>
      <c r="AJ128" t="s">
        <v>4</v>
      </c>
      <c r="AK128" t="s">
        <v>584</v>
      </c>
      <c r="AL128" t="s">
        <v>631</v>
      </c>
      <c r="AM128" t="s">
        <v>632</v>
      </c>
      <c r="AN128" t="s">
        <v>633</v>
      </c>
      <c r="AO128" t="s">
        <v>585</v>
      </c>
      <c r="AP128" t="s">
        <v>586</v>
      </c>
      <c r="AQ128" t="s">
        <v>587</v>
      </c>
      <c r="AS128" t="s">
        <v>588</v>
      </c>
    </row>
    <row r="129" spans="1:45" x14ac:dyDescent="0.25">
      <c r="A129" s="11" t="s">
        <v>589</v>
      </c>
      <c r="B129" s="11">
        <v>50454</v>
      </c>
      <c r="C129" s="11">
        <v>50582</v>
      </c>
      <c r="D129" s="11">
        <v>101036</v>
      </c>
      <c r="E129" s="266">
        <f>B129*1.01</f>
        <v>50958.54</v>
      </c>
      <c r="F129" s="266">
        <f>C129*1.01</f>
        <v>51087.82</v>
      </c>
      <c r="G129" s="266">
        <f>D129*1.01</f>
        <v>102046.36</v>
      </c>
      <c r="H129" s="266">
        <f>B129*1.01^2</f>
        <v>51468.125399999997</v>
      </c>
      <c r="I129" s="266">
        <f>C129*1.01^2</f>
        <v>51598.698199999999</v>
      </c>
      <c r="J129" s="266">
        <f>D129*1.01^2</f>
        <v>103066.8236</v>
      </c>
      <c r="K129" s="266">
        <f>B129*1.01^3</f>
        <v>51982.806653999993</v>
      </c>
      <c r="L129" s="266">
        <f>C129*1.01^3</f>
        <v>52114.685181999994</v>
      </c>
      <c r="M129" s="266">
        <f>D129*1.01^3</f>
        <v>104097.49183599999</v>
      </c>
      <c r="N129" s="266">
        <f>B129*1.01^4</f>
        <v>52502.634720540002</v>
      </c>
      <c r="O129" s="266">
        <f>C129*1.01^4</f>
        <v>52635.832033819999</v>
      </c>
      <c r="P129" s="266">
        <f>D129*1.01^4</f>
        <v>105138.46675436001</v>
      </c>
      <c r="Q129" s="266">
        <f>B129*1.01^5</f>
        <v>53027.661067745394</v>
      </c>
      <c r="R129" s="266">
        <f>C129*1.01^5</f>
        <v>53162.1903541582</v>
      </c>
      <c r="S129" s="266">
        <f>D129*1.01^5</f>
        <v>106189.85142190359</v>
      </c>
      <c r="T129" s="266">
        <f>B129*1.01^6</f>
        <v>53557.937678422859</v>
      </c>
      <c r="U129" s="266">
        <f>C129*1.01^6</f>
        <v>53693.812257699792</v>
      </c>
      <c r="V129" s="266">
        <f>D129*1.01^6</f>
        <v>107251.74993612265</v>
      </c>
      <c r="W129" s="266">
        <f>B129*1.01^7</f>
        <v>54093.517055207078</v>
      </c>
      <c r="X129" s="266">
        <f>P129*1.01^7</f>
        <v>112722.66707367692</v>
      </c>
      <c r="Y129" s="266">
        <f>C129*1.01^7</f>
        <v>54230.750380276768</v>
      </c>
      <c r="Z129" s="267">
        <f>B129*1.01^8</f>
        <v>54634.45222575916</v>
      </c>
      <c r="AA129" s="267">
        <f>C129*1.01^8</f>
        <v>54773.057884079557</v>
      </c>
      <c r="AB129" s="267">
        <f>D129*1.01^8</f>
        <v>109407.51010983871</v>
      </c>
      <c r="AC129" s="266">
        <f>B129*1.01^9</f>
        <v>55180.796748016757</v>
      </c>
      <c r="AD129" s="266">
        <f>C129*1.01^9</f>
        <v>55320.788462920355</v>
      </c>
      <c r="AE129" s="266">
        <f>D129*1.01^9</f>
        <v>110501.5852109371</v>
      </c>
      <c r="AF129" s="266">
        <f>B129*1.01^10</f>
        <v>55732.604715496927</v>
      </c>
      <c r="AG129" s="268">
        <f>C129*1.01^10</f>
        <v>55873.996347549561</v>
      </c>
      <c r="AH129" s="266">
        <f>D129*1.01^10</f>
        <v>111606.60106304649</v>
      </c>
      <c r="AI129" s="6">
        <f>Z146/AB146</f>
        <v>0.4780967198085081</v>
      </c>
      <c r="AJ129" s="6">
        <f>AA146/AB146</f>
        <v>0.5219032801914919</v>
      </c>
      <c r="AK129" s="6">
        <f>AB129/AB146</f>
        <v>0.14773656112871458</v>
      </c>
      <c r="AL129" s="6">
        <f>SUM(AB129:AB131)/AB146</f>
        <v>0.43390559634328763</v>
      </c>
      <c r="AM129" s="6">
        <f>SUM(Z129:Z131)/Z146</f>
        <v>0.45653536901277497</v>
      </c>
      <c r="AN129" s="6">
        <f>SUM(AA129:AA131)/AA146</f>
        <v>0.41317528003003423</v>
      </c>
      <c r="AO129" s="6">
        <f>SUM(AB129:AB132)/AB146</f>
        <v>0.55248116298894712</v>
      </c>
      <c r="AP129" s="6">
        <f>SUM(AA132:AA138)/AA146</f>
        <v>0.43101931492802431</v>
      </c>
      <c r="AQ129" s="6">
        <f>SUM(Z132:Z138)/Z146</f>
        <v>0.43060002997244368</v>
      </c>
      <c r="AR129" s="6"/>
      <c r="AS129" s="6">
        <f>SUM(AB142:AB144)/AB146</f>
        <v>5.9111586169181433E-2</v>
      </c>
    </row>
    <row r="130" spans="1:45" x14ac:dyDescent="0.25">
      <c r="A130" s="269" t="s">
        <v>590</v>
      </c>
      <c r="B130" s="11">
        <v>48657</v>
      </c>
      <c r="C130" s="11">
        <v>48665</v>
      </c>
      <c r="D130" s="11">
        <v>97322</v>
      </c>
      <c r="E130" s="266">
        <f t="shared" ref="E130:G146" si="72">B130*1.01</f>
        <v>49143.57</v>
      </c>
      <c r="F130" s="266">
        <f t="shared" si="72"/>
        <v>49151.65</v>
      </c>
      <c r="G130" s="266">
        <f t="shared" si="72"/>
        <v>98295.22</v>
      </c>
      <c r="H130" s="266">
        <f t="shared" ref="H130:J146" si="73">B130*1.01^2</f>
        <v>49635.005700000002</v>
      </c>
      <c r="I130" s="266">
        <f t="shared" si="73"/>
        <v>49643.166499999999</v>
      </c>
      <c r="J130" s="266">
        <f t="shared" si="73"/>
        <v>99278.172200000001</v>
      </c>
      <c r="K130" s="266">
        <f t="shared" ref="K130:M146" si="74">B130*1.01^3</f>
        <v>50131.355756999998</v>
      </c>
      <c r="L130" s="266">
        <f t="shared" si="74"/>
        <v>50139.598164999996</v>
      </c>
      <c r="M130" s="266">
        <f t="shared" si="74"/>
        <v>100270.95392199999</v>
      </c>
      <c r="N130" s="266">
        <f t="shared" ref="N130:P146" si="75">B130*1.01^4</f>
        <v>50632.669314570005</v>
      </c>
      <c r="O130" s="266">
        <f t="shared" si="75"/>
        <v>50640.994146650002</v>
      </c>
      <c r="P130" s="266">
        <f t="shared" si="75"/>
        <v>101273.66346122</v>
      </c>
      <c r="Q130" s="266">
        <f t="shared" ref="Q130:S146" si="76">B130*1.01^5</f>
        <v>51138.996007715694</v>
      </c>
      <c r="R130" s="266">
        <f t="shared" si="76"/>
        <v>51147.404088116498</v>
      </c>
      <c r="S130" s="266">
        <f t="shared" si="76"/>
        <v>102286.4000958322</v>
      </c>
      <c r="T130" s="266">
        <f t="shared" ref="T130:V146" si="77">B130*1.01^6</f>
        <v>51650.385967792863</v>
      </c>
      <c r="U130" s="266">
        <f t="shared" si="77"/>
        <v>51658.878128997669</v>
      </c>
      <c r="V130" s="266">
        <f t="shared" si="77"/>
        <v>103309.26409679053</v>
      </c>
      <c r="W130" s="266">
        <f t="shared" ref="W130:W146" si="78">B130*1.01^7</f>
        <v>52166.889827470775</v>
      </c>
      <c r="X130" s="266">
        <f t="shared" ref="X130:X146" si="79">P130*1.01^7</f>
        <v>108579.07483416192</v>
      </c>
      <c r="Y130" s="266">
        <f t="shared" ref="Y130:Y146" si="80">C130*1.01^7</f>
        <v>52175.466910287636</v>
      </c>
      <c r="Z130" s="267">
        <f t="shared" ref="Z130:AB146" si="81">B130*1.01^8</f>
        <v>52688.558725745497</v>
      </c>
      <c r="AA130" s="267">
        <f t="shared" si="81"/>
        <v>52697.221579390527</v>
      </c>
      <c r="AB130" s="267">
        <f t="shared" si="81"/>
        <v>105385.78030513602</v>
      </c>
      <c r="AC130" s="266">
        <f t="shared" ref="AC130:AE146" si="82">B130*1.01^9</f>
        <v>53215.444313002961</v>
      </c>
      <c r="AD130" s="266">
        <f t="shared" si="82"/>
        <v>53224.19379518443</v>
      </c>
      <c r="AE130" s="266">
        <f t="shared" si="82"/>
        <v>106439.6381081874</v>
      </c>
      <c r="AF130" s="266">
        <f t="shared" ref="AF130:AH146" si="83">B130*1.01^10</f>
        <v>53747.598756132989</v>
      </c>
      <c r="AG130" s="268">
        <f t="shared" si="83"/>
        <v>53756.435733136277</v>
      </c>
      <c r="AH130" s="266">
        <f t="shared" si="83"/>
        <v>107504.03448926927</v>
      </c>
    </row>
    <row r="131" spans="1:45" x14ac:dyDescent="0.25">
      <c r="A131" s="269" t="s">
        <v>591</v>
      </c>
      <c r="B131" s="11">
        <v>50161</v>
      </c>
      <c r="C131" s="11">
        <v>48226</v>
      </c>
      <c r="D131" s="11">
        <v>98387</v>
      </c>
      <c r="E131" s="266">
        <f t="shared" si="72"/>
        <v>50662.61</v>
      </c>
      <c r="F131" s="266">
        <f t="shared" si="72"/>
        <v>48708.26</v>
      </c>
      <c r="G131" s="266">
        <f t="shared" si="72"/>
        <v>99370.87</v>
      </c>
      <c r="H131" s="266">
        <f t="shared" si="73"/>
        <v>51169.236100000002</v>
      </c>
      <c r="I131" s="266">
        <f t="shared" si="73"/>
        <v>49195.342600000004</v>
      </c>
      <c r="J131" s="266">
        <f t="shared" si="73"/>
        <v>100364.5787</v>
      </c>
      <c r="K131" s="266">
        <f t="shared" si="74"/>
        <v>51680.928460999996</v>
      </c>
      <c r="L131" s="266">
        <f t="shared" si="74"/>
        <v>49687.296025999996</v>
      </c>
      <c r="M131" s="266">
        <f t="shared" si="74"/>
        <v>101368.22448699998</v>
      </c>
      <c r="N131" s="266">
        <f t="shared" si="75"/>
        <v>52197.73774561</v>
      </c>
      <c r="O131" s="266">
        <f t="shared" si="75"/>
        <v>50184.168986260003</v>
      </c>
      <c r="P131" s="266">
        <f t="shared" si="75"/>
        <v>102381.90673187</v>
      </c>
      <c r="Q131" s="266">
        <f t="shared" si="76"/>
        <v>52719.715123066097</v>
      </c>
      <c r="R131" s="266">
        <f t="shared" si="76"/>
        <v>50686.010676122598</v>
      </c>
      <c r="S131" s="266">
        <f t="shared" si="76"/>
        <v>103405.72579918869</v>
      </c>
      <c r="T131" s="266">
        <f t="shared" si="77"/>
        <v>53246.912274296767</v>
      </c>
      <c r="U131" s="266">
        <f t="shared" si="77"/>
        <v>51192.870782883831</v>
      </c>
      <c r="V131" s="266">
        <f t="shared" si="77"/>
        <v>104439.7830571806</v>
      </c>
      <c r="W131" s="266">
        <f t="shared" si="78"/>
        <v>53779.381397039717</v>
      </c>
      <c r="X131" s="266">
        <f t="shared" si="79"/>
        <v>109767.26162336048</v>
      </c>
      <c r="Y131" s="266">
        <f t="shared" si="80"/>
        <v>51704.799490712656</v>
      </c>
      <c r="Z131" s="267">
        <f t="shared" si="81"/>
        <v>54317.17521101013</v>
      </c>
      <c r="AA131" s="267">
        <f t="shared" si="81"/>
        <v>52221.847485619794</v>
      </c>
      <c r="AB131" s="267">
        <f t="shared" si="81"/>
        <v>106539.02269662992</v>
      </c>
      <c r="AC131" s="266">
        <f t="shared" si="82"/>
        <v>54860.346963120239</v>
      </c>
      <c r="AD131" s="266">
        <f t="shared" si="82"/>
        <v>52744.065960476</v>
      </c>
      <c r="AE131" s="266">
        <f t="shared" si="82"/>
        <v>107604.41292359623</v>
      </c>
      <c r="AF131" s="266">
        <f t="shared" si="83"/>
        <v>55408.950432751444</v>
      </c>
      <c r="AG131" s="268">
        <f t="shared" si="83"/>
        <v>53271.506620080763</v>
      </c>
      <c r="AH131" s="266">
        <f t="shared" si="83"/>
        <v>108680.45705283221</v>
      </c>
    </row>
    <row r="132" spans="1:45" x14ac:dyDescent="0.25">
      <c r="A132" s="11" t="s">
        <v>592</v>
      </c>
      <c r="B132" s="11">
        <v>42508</v>
      </c>
      <c r="C132" s="11">
        <v>38585</v>
      </c>
      <c r="D132" s="11">
        <v>81093</v>
      </c>
      <c r="E132" s="266">
        <f t="shared" si="72"/>
        <v>42933.08</v>
      </c>
      <c r="F132" s="266">
        <f t="shared" si="72"/>
        <v>38970.85</v>
      </c>
      <c r="G132" s="266">
        <f t="shared" si="72"/>
        <v>81903.930000000008</v>
      </c>
      <c r="H132" s="266">
        <f t="shared" si="73"/>
        <v>43362.410799999998</v>
      </c>
      <c r="I132" s="266">
        <f t="shared" si="73"/>
        <v>39360.558499999999</v>
      </c>
      <c r="J132" s="266">
        <f t="shared" si="73"/>
        <v>82722.969299999997</v>
      </c>
      <c r="K132" s="266">
        <f t="shared" si="74"/>
        <v>43796.034907999994</v>
      </c>
      <c r="L132" s="266">
        <f t="shared" si="74"/>
        <v>39754.164084999997</v>
      </c>
      <c r="M132" s="266">
        <f t="shared" si="74"/>
        <v>83550.198992999998</v>
      </c>
      <c r="N132" s="266">
        <f t="shared" si="75"/>
        <v>44233.995257080001</v>
      </c>
      <c r="O132" s="266">
        <f t="shared" si="75"/>
        <v>40151.705725849999</v>
      </c>
      <c r="P132" s="266">
        <f t="shared" si="75"/>
        <v>84385.700982930008</v>
      </c>
      <c r="Q132" s="266">
        <f t="shared" si="76"/>
        <v>44676.335209650795</v>
      </c>
      <c r="R132" s="266">
        <f t="shared" si="76"/>
        <v>40553.222783108497</v>
      </c>
      <c r="S132" s="266">
        <f t="shared" si="76"/>
        <v>85229.557992759292</v>
      </c>
      <c r="T132" s="266">
        <f t="shared" si="77"/>
        <v>45123.098561747312</v>
      </c>
      <c r="U132" s="266">
        <f t="shared" si="77"/>
        <v>40958.755010939589</v>
      </c>
      <c r="V132" s="266">
        <f t="shared" si="77"/>
        <v>86081.853572686901</v>
      </c>
      <c r="W132" s="266">
        <f t="shared" si="78"/>
        <v>45574.329547364774</v>
      </c>
      <c r="X132" s="266">
        <f t="shared" si="79"/>
        <v>90472.893236130505</v>
      </c>
      <c r="Y132" s="266">
        <f t="shared" si="80"/>
        <v>41368.342561048972</v>
      </c>
      <c r="Z132" s="267">
        <f t="shared" si="81"/>
        <v>46030.072842838432</v>
      </c>
      <c r="AA132" s="267">
        <f t="shared" si="81"/>
        <v>41782.025986659479</v>
      </c>
      <c r="AB132" s="267">
        <f t="shared" si="81"/>
        <v>87812.098829497903</v>
      </c>
      <c r="AC132" s="266">
        <f t="shared" si="82"/>
        <v>46490.37357126682</v>
      </c>
      <c r="AD132" s="266">
        <f t="shared" si="82"/>
        <v>42199.846246526075</v>
      </c>
      <c r="AE132" s="266">
        <f t="shared" si="82"/>
        <v>88690.219817792895</v>
      </c>
      <c r="AF132" s="266">
        <f t="shared" si="83"/>
        <v>46955.277306979493</v>
      </c>
      <c r="AG132" s="268">
        <f t="shared" si="83"/>
        <v>42621.844708991332</v>
      </c>
      <c r="AH132" s="266">
        <f t="shared" si="83"/>
        <v>89577.122015970832</v>
      </c>
    </row>
    <row r="133" spans="1:45" x14ac:dyDescent="0.25">
      <c r="A133" s="11" t="s">
        <v>593</v>
      </c>
      <c r="B133" s="11">
        <v>26640</v>
      </c>
      <c r="C133" s="11">
        <v>30181</v>
      </c>
      <c r="D133" s="11">
        <v>56821</v>
      </c>
      <c r="E133" s="266">
        <f t="shared" si="72"/>
        <v>26906.400000000001</v>
      </c>
      <c r="F133" s="266">
        <f t="shared" si="72"/>
        <v>30482.81</v>
      </c>
      <c r="G133" s="266">
        <f t="shared" si="72"/>
        <v>57389.21</v>
      </c>
      <c r="H133" s="266">
        <f t="shared" si="73"/>
        <v>27175.464</v>
      </c>
      <c r="I133" s="266">
        <f t="shared" si="73"/>
        <v>30787.6381</v>
      </c>
      <c r="J133" s="266">
        <f t="shared" si="73"/>
        <v>57963.102100000004</v>
      </c>
      <c r="K133" s="266">
        <f t="shared" si="74"/>
        <v>27447.218639999999</v>
      </c>
      <c r="L133" s="266">
        <f t="shared" si="74"/>
        <v>31095.514480999998</v>
      </c>
      <c r="M133" s="266">
        <f t="shared" si="74"/>
        <v>58542.733120999997</v>
      </c>
      <c r="N133" s="266">
        <f t="shared" si="75"/>
        <v>27721.690826400001</v>
      </c>
      <c r="O133" s="266">
        <f t="shared" si="75"/>
        <v>31406.469625810001</v>
      </c>
      <c r="P133" s="266">
        <f t="shared" si="75"/>
        <v>59128.160452210002</v>
      </c>
      <c r="Q133" s="266">
        <f t="shared" si="76"/>
        <v>27998.907734663997</v>
      </c>
      <c r="R133" s="266">
        <f t="shared" si="76"/>
        <v>31720.534322068099</v>
      </c>
      <c r="S133" s="266">
        <f t="shared" si="76"/>
        <v>59719.442056732092</v>
      </c>
      <c r="T133" s="266">
        <f t="shared" si="77"/>
        <v>28278.896812010644</v>
      </c>
      <c r="U133" s="266">
        <f t="shared" si="77"/>
        <v>32037.739665288784</v>
      </c>
      <c r="V133" s="266">
        <f t="shared" si="77"/>
        <v>60316.636477299427</v>
      </c>
      <c r="W133" s="266">
        <f t="shared" si="78"/>
        <v>28561.685780130741</v>
      </c>
      <c r="X133" s="266">
        <f t="shared" si="79"/>
        <v>63393.391125869945</v>
      </c>
      <c r="Y133" s="266">
        <f t="shared" si="80"/>
        <v>32358.117061941663</v>
      </c>
      <c r="Z133" s="267">
        <f t="shared" si="81"/>
        <v>28847.302637932058</v>
      </c>
      <c r="AA133" s="267">
        <f t="shared" si="81"/>
        <v>32681.698232561088</v>
      </c>
      <c r="AB133" s="267">
        <f t="shared" si="81"/>
        <v>61529.000870493146</v>
      </c>
      <c r="AC133" s="266">
        <f t="shared" si="82"/>
        <v>29135.775664311379</v>
      </c>
      <c r="AD133" s="266">
        <f t="shared" si="82"/>
        <v>33008.515214886706</v>
      </c>
      <c r="AE133" s="266">
        <f t="shared" si="82"/>
        <v>62144.290879198081</v>
      </c>
      <c r="AF133" s="266">
        <f t="shared" si="83"/>
        <v>29427.133420954495</v>
      </c>
      <c r="AG133" s="268">
        <f t="shared" si="83"/>
        <v>33338.600367035571</v>
      </c>
      <c r="AH133" s="266">
        <f t="shared" si="83"/>
        <v>62765.733787990066</v>
      </c>
    </row>
    <row r="134" spans="1:45" x14ac:dyDescent="0.25">
      <c r="A134" s="11" t="s">
        <v>594</v>
      </c>
      <c r="B134" s="11">
        <v>21826</v>
      </c>
      <c r="C134" s="11">
        <v>25554</v>
      </c>
      <c r="D134" s="11">
        <v>47380</v>
      </c>
      <c r="E134" s="266">
        <f t="shared" si="72"/>
        <v>22044.26</v>
      </c>
      <c r="F134" s="266">
        <f t="shared" si="72"/>
        <v>25809.54</v>
      </c>
      <c r="G134" s="266">
        <f t="shared" si="72"/>
        <v>47853.8</v>
      </c>
      <c r="H134" s="266">
        <f t="shared" si="73"/>
        <v>22264.702600000001</v>
      </c>
      <c r="I134" s="266">
        <f t="shared" si="73"/>
        <v>26067.635399999999</v>
      </c>
      <c r="J134" s="266">
        <f t="shared" si="73"/>
        <v>48332.338000000003</v>
      </c>
      <c r="K134" s="266">
        <f t="shared" si="74"/>
        <v>22487.349625999999</v>
      </c>
      <c r="L134" s="266">
        <f t="shared" si="74"/>
        <v>26328.311753999998</v>
      </c>
      <c r="M134" s="266">
        <f t="shared" si="74"/>
        <v>48815.661379999998</v>
      </c>
      <c r="N134" s="266">
        <f t="shared" si="75"/>
        <v>22712.223122260002</v>
      </c>
      <c r="O134" s="266">
        <f t="shared" si="75"/>
        <v>26591.594871540001</v>
      </c>
      <c r="P134" s="266">
        <f t="shared" si="75"/>
        <v>49303.817993800003</v>
      </c>
      <c r="Q134" s="266">
        <f t="shared" si="76"/>
        <v>22939.345353482597</v>
      </c>
      <c r="R134" s="266">
        <f t="shared" si="76"/>
        <v>26857.510820255397</v>
      </c>
      <c r="S134" s="266">
        <f t="shared" si="76"/>
        <v>49796.856173737993</v>
      </c>
      <c r="T134" s="266">
        <f t="shared" si="77"/>
        <v>23168.738807017427</v>
      </c>
      <c r="U134" s="266">
        <f t="shared" si="77"/>
        <v>27126.085928457956</v>
      </c>
      <c r="V134" s="266">
        <f t="shared" si="77"/>
        <v>50294.824735475384</v>
      </c>
      <c r="W134" s="266">
        <f t="shared" si="78"/>
        <v>23400.426195087595</v>
      </c>
      <c r="X134" s="266">
        <f t="shared" si="79"/>
        <v>52860.366265002696</v>
      </c>
      <c r="Y134" s="266">
        <f t="shared" si="80"/>
        <v>27397.346787742528</v>
      </c>
      <c r="Z134" s="267">
        <f t="shared" si="81"/>
        <v>23634.430457038477</v>
      </c>
      <c r="AA134" s="267">
        <f t="shared" si="81"/>
        <v>27671.320255619961</v>
      </c>
      <c r="AB134" s="267">
        <f t="shared" si="81"/>
        <v>51305.750712658439</v>
      </c>
      <c r="AC134" s="266">
        <f t="shared" si="82"/>
        <v>23870.774761608867</v>
      </c>
      <c r="AD134" s="266">
        <f t="shared" si="82"/>
        <v>27948.033458176164</v>
      </c>
      <c r="AE134" s="266">
        <f t="shared" si="82"/>
        <v>51818.808219785031</v>
      </c>
      <c r="AF134" s="266">
        <f t="shared" si="83"/>
        <v>24109.482509224956</v>
      </c>
      <c r="AG134" s="268">
        <f t="shared" si="83"/>
        <v>28227.513792757927</v>
      </c>
      <c r="AH134" s="266">
        <f t="shared" si="83"/>
        <v>52336.996301982879</v>
      </c>
    </row>
    <row r="135" spans="1:45" x14ac:dyDescent="0.25">
      <c r="A135" s="11" t="s">
        <v>595</v>
      </c>
      <c r="B135" s="11">
        <v>17784</v>
      </c>
      <c r="C135" s="11">
        <v>19802</v>
      </c>
      <c r="D135" s="11">
        <v>37586</v>
      </c>
      <c r="E135" s="266">
        <f t="shared" si="72"/>
        <v>17961.84</v>
      </c>
      <c r="F135" s="266">
        <f t="shared" si="72"/>
        <v>20000.02</v>
      </c>
      <c r="G135" s="266">
        <f t="shared" si="72"/>
        <v>37961.86</v>
      </c>
      <c r="H135" s="266">
        <f t="shared" si="73"/>
        <v>18141.4584</v>
      </c>
      <c r="I135" s="266">
        <f t="shared" si="73"/>
        <v>20200.020199999999</v>
      </c>
      <c r="J135" s="266">
        <f t="shared" si="73"/>
        <v>38341.478600000002</v>
      </c>
      <c r="K135" s="266">
        <f t="shared" si="74"/>
        <v>18322.872983999998</v>
      </c>
      <c r="L135" s="266">
        <f t="shared" si="74"/>
        <v>20402.020401999998</v>
      </c>
      <c r="M135" s="266">
        <f t="shared" si="74"/>
        <v>38724.893385999996</v>
      </c>
      <c r="N135" s="266">
        <f t="shared" si="75"/>
        <v>18506.101713840002</v>
      </c>
      <c r="O135" s="266">
        <f t="shared" si="75"/>
        <v>20606.04060602</v>
      </c>
      <c r="P135" s="266">
        <f t="shared" si="75"/>
        <v>39112.142319860002</v>
      </c>
      <c r="Q135" s="266">
        <f t="shared" si="76"/>
        <v>18691.162730978398</v>
      </c>
      <c r="R135" s="266">
        <f t="shared" si="76"/>
        <v>20812.101012080198</v>
      </c>
      <c r="S135" s="266">
        <f t="shared" si="76"/>
        <v>39503.263743058596</v>
      </c>
      <c r="T135" s="266">
        <f t="shared" si="77"/>
        <v>18878.074358288188</v>
      </c>
      <c r="U135" s="266">
        <f t="shared" si="77"/>
        <v>21020.222022201004</v>
      </c>
      <c r="V135" s="266">
        <f t="shared" si="77"/>
        <v>39898.296380489192</v>
      </c>
      <c r="W135" s="266">
        <f t="shared" si="78"/>
        <v>19066.855101871064</v>
      </c>
      <c r="X135" s="266">
        <f t="shared" si="79"/>
        <v>41933.510477762582</v>
      </c>
      <c r="Y135" s="266">
        <f t="shared" si="80"/>
        <v>21230.424242423007</v>
      </c>
      <c r="Z135" s="267">
        <f t="shared" si="81"/>
        <v>19257.52365288978</v>
      </c>
      <c r="AA135" s="267">
        <f t="shared" si="81"/>
        <v>21442.728484847245</v>
      </c>
      <c r="AB135" s="267">
        <f t="shared" si="81"/>
        <v>40700.252137737021</v>
      </c>
      <c r="AC135" s="266">
        <f t="shared" si="82"/>
        <v>19450.098889418678</v>
      </c>
      <c r="AD135" s="266">
        <f t="shared" si="82"/>
        <v>21657.155769695717</v>
      </c>
      <c r="AE135" s="266">
        <f t="shared" si="82"/>
        <v>41107.254659114398</v>
      </c>
      <c r="AF135" s="266">
        <f t="shared" si="83"/>
        <v>19644.599878312863</v>
      </c>
      <c r="AG135" s="268">
        <f t="shared" si="83"/>
        <v>21873.727327392677</v>
      </c>
      <c r="AH135" s="266">
        <f t="shared" si="83"/>
        <v>41518.327205705544</v>
      </c>
    </row>
    <row r="136" spans="1:45" x14ac:dyDescent="0.25">
      <c r="A136" s="11" t="s">
        <v>596</v>
      </c>
      <c r="B136" s="11">
        <v>13748</v>
      </c>
      <c r="C136" s="11">
        <v>16127</v>
      </c>
      <c r="D136" s="11">
        <v>29875</v>
      </c>
      <c r="E136" s="266">
        <f t="shared" si="72"/>
        <v>13885.48</v>
      </c>
      <c r="F136" s="266">
        <f t="shared" si="72"/>
        <v>16288.27</v>
      </c>
      <c r="G136" s="266">
        <f t="shared" si="72"/>
        <v>30173.75</v>
      </c>
      <c r="H136" s="266">
        <f t="shared" si="73"/>
        <v>14024.334800000001</v>
      </c>
      <c r="I136" s="266">
        <f t="shared" si="73"/>
        <v>16451.152699999999</v>
      </c>
      <c r="J136" s="266">
        <f t="shared" si="73"/>
        <v>30475.487499999999</v>
      </c>
      <c r="K136" s="266">
        <f t="shared" si="74"/>
        <v>14164.578147999999</v>
      </c>
      <c r="L136" s="266">
        <f t="shared" si="74"/>
        <v>16615.664226999997</v>
      </c>
      <c r="M136" s="266">
        <f t="shared" si="74"/>
        <v>30780.242374999998</v>
      </c>
      <c r="N136" s="266">
        <f t="shared" si="75"/>
        <v>14306.22392948</v>
      </c>
      <c r="O136" s="266">
        <f t="shared" si="75"/>
        <v>16781.820869269999</v>
      </c>
      <c r="P136" s="266">
        <f t="shared" si="75"/>
        <v>31088.044798750001</v>
      </c>
      <c r="Q136" s="266">
        <f t="shared" si="76"/>
        <v>14449.286168774799</v>
      </c>
      <c r="R136" s="266">
        <f t="shared" si="76"/>
        <v>16949.6390779627</v>
      </c>
      <c r="S136" s="266">
        <f t="shared" si="76"/>
        <v>31398.925246737497</v>
      </c>
      <c r="T136" s="266">
        <f t="shared" si="77"/>
        <v>14593.779030462551</v>
      </c>
      <c r="U136" s="266">
        <f t="shared" si="77"/>
        <v>17119.13546874233</v>
      </c>
      <c r="V136" s="266">
        <f t="shared" si="77"/>
        <v>31712.914499204879</v>
      </c>
      <c r="W136" s="266">
        <f t="shared" si="78"/>
        <v>14739.716820767171</v>
      </c>
      <c r="X136" s="266">
        <f t="shared" si="79"/>
        <v>33330.591856626328</v>
      </c>
      <c r="Y136" s="266">
        <f t="shared" si="80"/>
        <v>17290.326823429747</v>
      </c>
      <c r="Z136" s="267">
        <f t="shared" si="81"/>
        <v>14887.113988974847</v>
      </c>
      <c r="AA136" s="267">
        <f t="shared" si="81"/>
        <v>17463.230091664049</v>
      </c>
      <c r="AB136" s="267">
        <f t="shared" si="81"/>
        <v>32350.344080638897</v>
      </c>
      <c r="AC136" s="266">
        <f t="shared" si="82"/>
        <v>15035.985128864597</v>
      </c>
      <c r="AD136" s="266">
        <f t="shared" si="82"/>
        <v>17637.862392580693</v>
      </c>
      <c r="AE136" s="266">
        <f t="shared" si="82"/>
        <v>32673.847521445288</v>
      </c>
      <c r="AF136" s="266">
        <f t="shared" si="83"/>
        <v>15186.344980153242</v>
      </c>
      <c r="AG136" s="268">
        <f t="shared" si="83"/>
        <v>17814.241016506498</v>
      </c>
      <c r="AH136" s="266">
        <f t="shared" si="83"/>
        <v>33000.585996659742</v>
      </c>
    </row>
    <row r="137" spans="1:45" x14ac:dyDescent="0.25">
      <c r="A137" s="11" t="s">
        <v>597</v>
      </c>
      <c r="B137" s="11">
        <v>10625</v>
      </c>
      <c r="C137" s="11">
        <v>12793</v>
      </c>
      <c r="D137" s="11">
        <v>23418</v>
      </c>
      <c r="E137" s="266">
        <f t="shared" si="72"/>
        <v>10731.25</v>
      </c>
      <c r="F137" s="266">
        <f t="shared" si="72"/>
        <v>12920.93</v>
      </c>
      <c r="G137" s="266">
        <f t="shared" si="72"/>
        <v>23652.18</v>
      </c>
      <c r="H137" s="266">
        <f t="shared" si="73"/>
        <v>10838.5625</v>
      </c>
      <c r="I137" s="266">
        <f t="shared" si="73"/>
        <v>13050.139300000001</v>
      </c>
      <c r="J137" s="266">
        <f t="shared" si="73"/>
        <v>23888.701799999999</v>
      </c>
      <c r="K137" s="266">
        <f t="shared" si="74"/>
        <v>10946.948124999999</v>
      </c>
      <c r="L137" s="266">
        <f t="shared" si="74"/>
        <v>13180.640692999999</v>
      </c>
      <c r="M137" s="266">
        <f t="shared" si="74"/>
        <v>24127.588817999997</v>
      </c>
      <c r="N137" s="266">
        <f t="shared" si="75"/>
        <v>11056.417606250001</v>
      </c>
      <c r="O137" s="266">
        <f t="shared" si="75"/>
        <v>13312.447099930001</v>
      </c>
      <c r="P137" s="266">
        <f t="shared" si="75"/>
        <v>24368.86470618</v>
      </c>
      <c r="Q137" s="266">
        <f t="shared" si="76"/>
        <v>11166.981782312499</v>
      </c>
      <c r="R137" s="266">
        <f t="shared" si="76"/>
        <v>13445.5715709293</v>
      </c>
      <c r="S137" s="266">
        <f t="shared" si="76"/>
        <v>24612.553353241798</v>
      </c>
      <c r="T137" s="266">
        <f t="shared" si="77"/>
        <v>11278.651600135627</v>
      </c>
      <c r="U137" s="266">
        <f t="shared" si="77"/>
        <v>13580.027286638595</v>
      </c>
      <c r="V137" s="266">
        <f t="shared" si="77"/>
        <v>24858.678886774222</v>
      </c>
      <c r="W137" s="266">
        <f t="shared" si="78"/>
        <v>11391.43811613698</v>
      </c>
      <c r="X137" s="266">
        <f t="shared" si="79"/>
        <v>26126.721342208381</v>
      </c>
      <c r="Y137" s="266">
        <f t="shared" si="80"/>
        <v>13715.827559504976</v>
      </c>
      <c r="Z137" s="267">
        <f t="shared" si="81"/>
        <v>11505.352497298352</v>
      </c>
      <c r="AA137" s="267">
        <f t="shared" si="81"/>
        <v>13852.985835100031</v>
      </c>
      <c r="AB137" s="267">
        <f t="shared" si="81"/>
        <v>25358.338332398383</v>
      </c>
      <c r="AC137" s="266">
        <f t="shared" si="82"/>
        <v>11620.406022271336</v>
      </c>
      <c r="AD137" s="266">
        <f t="shared" si="82"/>
        <v>13991.515693451032</v>
      </c>
      <c r="AE137" s="266">
        <f t="shared" si="82"/>
        <v>25611.921715722368</v>
      </c>
      <c r="AF137" s="266">
        <f t="shared" si="83"/>
        <v>11736.610082494051</v>
      </c>
      <c r="AG137" s="268">
        <f t="shared" si="83"/>
        <v>14131.430850385543</v>
      </c>
      <c r="AH137" s="266">
        <f t="shared" si="83"/>
        <v>25868.040932879594</v>
      </c>
    </row>
    <row r="138" spans="1:45" x14ac:dyDescent="0.25">
      <c r="A138" s="11" t="s">
        <v>598</v>
      </c>
      <c r="B138" s="11">
        <v>7661</v>
      </c>
      <c r="C138" s="11">
        <v>10800</v>
      </c>
      <c r="D138" s="11">
        <v>18461</v>
      </c>
      <c r="E138" s="266">
        <f t="shared" si="72"/>
        <v>7737.61</v>
      </c>
      <c r="F138" s="266">
        <f t="shared" si="72"/>
        <v>10908</v>
      </c>
      <c r="G138" s="266">
        <f t="shared" si="72"/>
        <v>18645.61</v>
      </c>
      <c r="H138" s="266">
        <f t="shared" si="73"/>
        <v>7814.9861000000001</v>
      </c>
      <c r="I138" s="266">
        <f t="shared" si="73"/>
        <v>11017.08</v>
      </c>
      <c r="J138" s="266">
        <f t="shared" si="73"/>
        <v>18832.0661</v>
      </c>
      <c r="K138" s="266">
        <f t="shared" si="74"/>
        <v>7893.135960999999</v>
      </c>
      <c r="L138" s="266">
        <f t="shared" si="74"/>
        <v>11127.2508</v>
      </c>
      <c r="M138" s="266">
        <f t="shared" si="74"/>
        <v>19020.386760999998</v>
      </c>
      <c r="N138" s="266">
        <f t="shared" si="75"/>
        <v>7972.06732061</v>
      </c>
      <c r="O138" s="266">
        <f t="shared" si="75"/>
        <v>11238.523308</v>
      </c>
      <c r="P138" s="266">
        <f t="shared" si="75"/>
        <v>19210.59062861</v>
      </c>
      <c r="Q138" s="266">
        <f t="shared" si="76"/>
        <v>8051.7879938160995</v>
      </c>
      <c r="R138" s="266">
        <f t="shared" si="76"/>
        <v>11350.90854108</v>
      </c>
      <c r="S138" s="266">
        <f t="shared" si="76"/>
        <v>19402.696534896098</v>
      </c>
      <c r="T138" s="266">
        <f t="shared" si="77"/>
        <v>8132.3058737542624</v>
      </c>
      <c r="U138" s="266">
        <f t="shared" si="77"/>
        <v>11464.417626490802</v>
      </c>
      <c r="V138" s="266">
        <f t="shared" si="77"/>
        <v>19596.723500245065</v>
      </c>
      <c r="W138" s="266">
        <f t="shared" si="78"/>
        <v>8213.6289324918016</v>
      </c>
      <c r="X138" s="266">
        <f t="shared" si="79"/>
        <v>20596.353347788405</v>
      </c>
      <c r="Y138" s="266">
        <f t="shared" si="80"/>
        <v>11579.061802755707</v>
      </c>
      <c r="Z138" s="267">
        <f t="shared" si="81"/>
        <v>8295.7652218167223</v>
      </c>
      <c r="AA138" s="267">
        <f t="shared" si="81"/>
        <v>11694.852420783267</v>
      </c>
      <c r="AB138" s="267">
        <f t="shared" si="81"/>
        <v>19990.617642599987</v>
      </c>
      <c r="AC138" s="266">
        <f t="shared" si="82"/>
        <v>8378.722874034891</v>
      </c>
      <c r="AD138" s="266">
        <f t="shared" si="82"/>
        <v>11811.800944991101</v>
      </c>
      <c r="AE138" s="266">
        <f t="shared" si="82"/>
        <v>20190.523819025992</v>
      </c>
      <c r="AF138" s="266">
        <f t="shared" si="83"/>
        <v>8462.5101027752389</v>
      </c>
      <c r="AG138" s="268">
        <f t="shared" si="83"/>
        <v>11929.918954441011</v>
      </c>
      <c r="AH138" s="266">
        <f t="shared" si="83"/>
        <v>20392.42905721625</v>
      </c>
    </row>
    <row r="139" spans="1:45" x14ac:dyDescent="0.25">
      <c r="A139" s="11" t="s">
        <v>599</v>
      </c>
      <c r="B139" s="11">
        <v>7768</v>
      </c>
      <c r="C139" s="11">
        <v>12405</v>
      </c>
      <c r="D139" s="11">
        <v>20173</v>
      </c>
      <c r="E139" s="266">
        <f t="shared" si="72"/>
        <v>7845.68</v>
      </c>
      <c r="F139" s="266">
        <f t="shared" si="72"/>
        <v>12529.05</v>
      </c>
      <c r="G139" s="266">
        <f t="shared" si="72"/>
        <v>20374.73</v>
      </c>
      <c r="H139" s="266">
        <f t="shared" si="73"/>
        <v>7924.1368000000002</v>
      </c>
      <c r="I139" s="266">
        <f t="shared" si="73"/>
        <v>12654.3405</v>
      </c>
      <c r="J139" s="266">
        <f t="shared" si="73"/>
        <v>20578.477299999999</v>
      </c>
      <c r="K139" s="266">
        <f t="shared" si="74"/>
        <v>8003.3781679999993</v>
      </c>
      <c r="L139" s="266">
        <f t="shared" si="74"/>
        <v>12780.883904999999</v>
      </c>
      <c r="M139" s="266">
        <f t="shared" si="74"/>
        <v>20784.262072999998</v>
      </c>
      <c r="N139" s="266">
        <f t="shared" si="75"/>
        <v>8083.4119496800004</v>
      </c>
      <c r="O139" s="266">
        <f t="shared" si="75"/>
        <v>12908.69274405</v>
      </c>
      <c r="P139" s="266">
        <f t="shared" si="75"/>
        <v>20992.104693730002</v>
      </c>
      <c r="Q139" s="266">
        <f t="shared" si="76"/>
        <v>8164.2460691767992</v>
      </c>
      <c r="R139" s="266">
        <f t="shared" si="76"/>
        <v>13037.7796714905</v>
      </c>
      <c r="S139" s="266">
        <f t="shared" si="76"/>
        <v>21202.025740667297</v>
      </c>
      <c r="T139" s="266">
        <f t="shared" si="77"/>
        <v>8245.8885298685691</v>
      </c>
      <c r="U139" s="266">
        <f t="shared" si="77"/>
        <v>13168.157468205407</v>
      </c>
      <c r="V139" s="266">
        <f t="shared" si="77"/>
        <v>21414.045998073976</v>
      </c>
      <c r="W139" s="266">
        <f t="shared" si="78"/>
        <v>8328.3474151672526</v>
      </c>
      <c r="X139" s="266">
        <f t="shared" si="79"/>
        <v>22506.377557279429</v>
      </c>
      <c r="Y139" s="266">
        <f t="shared" si="80"/>
        <v>13299.839042887457</v>
      </c>
      <c r="Z139" s="267">
        <f t="shared" si="81"/>
        <v>8411.6308893189271</v>
      </c>
      <c r="AA139" s="267">
        <f t="shared" si="81"/>
        <v>13432.837433316336</v>
      </c>
      <c r="AB139" s="267">
        <f t="shared" si="81"/>
        <v>21844.468322635261</v>
      </c>
      <c r="AC139" s="266">
        <f t="shared" si="82"/>
        <v>8495.7471982121169</v>
      </c>
      <c r="AD139" s="266">
        <f t="shared" si="82"/>
        <v>13567.165807649499</v>
      </c>
      <c r="AE139" s="266">
        <f t="shared" si="82"/>
        <v>22062.913005861617</v>
      </c>
      <c r="AF139" s="266">
        <f t="shared" si="83"/>
        <v>8580.7046701942381</v>
      </c>
      <c r="AG139" s="268">
        <f t="shared" si="83"/>
        <v>13702.837465725996</v>
      </c>
      <c r="AH139" s="266">
        <f>D139*1.01^10</f>
        <v>22283.542135920234</v>
      </c>
    </row>
    <row r="140" spans="1:45" x14ac:dyDescent="0.25">
      <c r="A140" s="11" t="s">
        <v>600</v>
      </c>
      <c r="B140" s="11">
        <v>6983</v>
      </c>
      <c r="C140" s="11">
        <v>10505</v>
      </c>
      <c r="D140" s="11">
        <v>17488</v>
      </c>
      <c r="E140" s="266">
        <f t="shared" si="72"/>
        <v>7052.83</v>
      </c>
      <c r="F140" s="266">
        <f t="shared" si="72"/>
        <v>10610.05</v>
      </c>
      <c r="G140" s="266">
        <f t="shared" si="72"/>
        <v>17662.88</v>
      </c>
      <c r="H140" s="266">
        <f t="shared" si="73"/>
        <v>7123.3582999999999</v>
      </c>
      <c r="I140" s="266">
        <f t="shared" si="73"/>
        <v>10716.1505</v>
      </c>
      <c r="J140" s="266">
        <f t="shared" si="73"/>
        <v>17839.5088</v>
      </c>
      <c r="K140" s="266">
        <f t="shared" si="74"/>
        <v>7194.5918829999991</v>
      </c>
      <c r="L140" s="266">
        <f t="shared" si="74"/>
        <v>10823.312005</v>
      </c>
      <c r="M140" s="266">
        <f t="shared" si="74"/>
        <v>18017.903887999997</v>
      </c>
      <c r="N140" s="266">
        <f t="shared" si="75"/>
        <v>7266.5378018299998</v>
      </c>
      <c r="O140" s="266">
        <f t="shared" si="75"/>
        <v>10931.545125050001</v>
      </c>
      <c r="P140" s="266">
        <f t="shared" si="75"/>
        <v>18198.082926880001</v>
      </c>
      <c r="Q140" s="266">
        <f t="shared" si="76"/>
        <v>7339.2031798482994</v>
      </c>
      <c r="R140" s="266">
        <f t="shared" si="76"/>
        <v>11040.8605763005</v>
      </c>
      <c r="S140" s="266">
        <f t="shared" si="76"/>
        <v>18380.0637561488</v>
      </c>
      <c r="T140" s="266">
        <f t="shared" si="77"/>
        <v>7412.5952116467843</v>
      </c>
      <c r="U140" s="266">
        <f t="shared" si="77"/>
        <v>11151.269182063506</v>
      </c>
      <c r="V140" s="266">
        <f t="shared" si="77"/>
        <v>18563.86439371029</v>
      </c>
      <c r="W140" s="266">
        <f t="shared" si="78"/>
        <v>7486.7211637632499</v>
      </c>
      <c r="X140" s="266">
        <f t="shared" si="79"/>
        <v>19510.808046483053</v>
      </c>
      <c r="Y140" s="266">
        <f t="shared" si="80"/>
        <v>11262.781873884138</v>
      </c>
      <c r="Z140" s="267">
        <f t="shared" si="81"/>
        <v>7561.5883754008846</v>
      </c>
      <c r="AA140" s="267">
        <f t="shared" si="81"/>
        <v>11375.409692622983</v>
      </c>
      <c r="AB140" s="267">
        <f t="shared" si="81"/>
        <v>18936.998068023866</v>
      </c>
      <c r="AC140" s="266">
        <f t="shared" si="82"/>
        <v>7637.2042591548934</v>
      </c>
      <c r="AD140" s="266">
        <f t="shared" si="82"/>
        <v>11489.163789549213</v>
      </c>
      <c r="AE140" s="266">
        <f t="shared" si="82"/>
        <v>19126.368048704106</v>
      </c>
      <c r="AF140" s="266">
        <f t="shared" si="83"/>
        <v>7713.5763017464424</v>
      </c>
      <c r="AG140" s="268">
        <f t="shared" si="83"/>
        <v>11604.055427444706</v>
      </c>
      <c r="AH140" s="266">
        <f t="shared" si="83"/>
        <v>19317.631729191147</v>
      </c>
    </row>
    <row r="141" spans="1:45" x14ac:dyDescent="0.25">
      <c r="A141" s="11" t="s">
        <v>601</v>
      </c>
      <c r="B141" s="11">
        <v>5561</v>
      </c>
      <c r="C141" s="11">
        <v>8179</v>
      </c>
      <c r="D141" s="11">
        <v>13740</v>
      </c>
      <c r="E141" s="266">
        <f t="shared" si="72"/>
        <v>5616.61</v>
      </c>
      <c r="F141" s="266">
        <f t="shared" si="72"/>
        <v>8260.7900000000009</v>
      </c>
      <c r="G141" s="266">
        <f t="shared" si="72"/>
        <v>13877.4</v>
      </c>
      <c r="H141" s="266">
        <f t="shared" si="73"/>
        <v>5672.7761</v>
      </c>
      <c r="I141" s="266">
        <f t="shared" si="73"/>
        <v>8343.3978999999999</v>
      </c>
      <c r="J141" s="266">
        <f t="shared" si="73"/>
        <v>14016.174000000001</v>
      </c>
      <c r="K141" s="266">
        <f t="shared" si="74"/>
        <v>5729.5038609999992</v>
      </c>
      <c r="L141" s="266">
        <f t="shared" si="74"/>
        <v>8426.8318789999994</v>
      </c>
      <c r="M141" s="266">
        <f t="shared" si="74"/>
        <v>14156.335739999999</v>
      </c>
      <c r="N141" s="266">
        <f t="shared" si="75"/>
        <v>5786.7988996100003</v>
      </c>
      <c r="O141" s="266">
        <f t="shared" si="75"/>
        <v>8511.1001977899996</v>
      </c>
      <c r="P141" s="266">
        <f t="shared" si="75"/>
        <v>14297.899097400001</v>
      </c>
      <c r="Q141" s="266">
        <f t="shared" si="76"/>
        <v>5844.6668886060997</v>
      </c>
      <c r="R141" s="266">
        <f t="shared" si="76"/>
        <v>8596.2111997678985</v>
      </c>
      <c r="S141" s="266">
        <f t="shared" si="76"/>
        <v>14440.878088373998</v>
      </c>
      <c r="T141" s="266">
        <f t="shared" si="77"/>
        <v>5903.1135574921618</v>
      </c>
      <c r="U141" s="266">
        <f t="shared" si="77"/>
        <v>8682.1733117655804</v>
      </c>
      <c r="V141" s="266">
        <f t="shared" si="77"/>
        <v>14585.286869257741</v>
      </c>
      <c r="W141" s="266">
        <f t="shared" si="78"/>
        <v>5962.1446930670818</v>
      </c>
      <c r="X141" s="266">
        <f t="shared" si="79"/>
        <v>15329.283083181448</v>
      </c>
      <c r="Y141" s="266">
        <f t="shared" si="80"/>
        <v>8768.9950448832333</v>
      </c>
      <c r="Z141" s="267">
        <f t="shared" si="81"/>
        <v>6021.7661399977542</v>
      </c>
      <c r="AA141" s="267">
        <f t="shared" si="81"/>
        <v>8856.6849953320689</v>
      </c>
      <c r="AB141" s="267">
        <f t="shared" si="81"/>
        <v>14878.451135329822</v>
      </c>
      <c r="AC141" s="266">
        <f t="shared" si="82"/>
        <v>6081.9838013977323</v>
      </c>
      <c r="AD141" s="266">
        <f t="shared" si="82"/>
        <v>8945.2518452853892</v>
      </c>
      <c r="AE141" s="266">
        <f t="shared" si="82"/>
        <v>15027.235646683122</v>
      </c>
      <c r="AF141" s="266">
        <f t="shared" si="83"/>
        <v>6142.8036394117098</v>
      </c>
      <c r="AG141" s="268">
        <f t="shared" si="83"/>
        <v>9034.704363738243</v>
      </c>
      <c r="AH141" s="266">
        <f t="shared" si="83"/>
        <v>15177.508003149953</v>
      </c>
    </row>
    <row r="142" spans="1:45" x14ac:dyDescent="0.25">
      <c r="A142" s="11" t="s">
        <v>602</v>
      </c>
      <c r="B142" s="11">
        <v>4727</v>
      </c>
      <c r="C142" s="11">
        <v>6825</v>
      </c>
      <c r="D142" s="11">
        <v>11552</v>
      </c>
      <c r="E142" s="266">
        <f t="shared" si="72"/>
        <v>4774.2700000000004</v>
      </c>
      <c r="F142" s="266">
        <f t="shared" si="72"/>
        <v>6893.25</v>
      </c>
      <c r="G142" s="266">
        <f t="shared" si="72"/>
        <v>11667.52</v>
      </c>
      <c r="H142" s="266">
        <f t="shared" si="73"/>
        <v>4822.0127000000002</v>
      </c>
      <c r="I142" s="266">
        <f t="shared" si="73"/>
        <v>6962.1824999999999</v>
      </c>
      <c r="J142" s="266">
        <f t="shared" si="73"/>
        <v>11784.1952</v>
      </c>
      <c r="K142" s="266">
        <f t="shared" si="74"/>
        <v>4870.2328269999998</v>
      </c>
      <c r="L142" s="266">
        <f t="shared" si="74"/>
        <v>7031.8043249999992</v>
      </c>
      <c r="M142" s="266">
        <f t="shared" si="74"/>
        <v>11902.037151999999</v>
      </c>
      <c r="N142" s="266">
        <f t="shared" si="75"/>
        <v>4918.93515527</v>
      </c>
      <c r="O142" s="266">
        <f t="shared" si="75"/>
        <v>7102.1223682500004</v>
      </c>
      <c r="P142" s="266">
        <f t="shared" si="75"/>
        <v>12021.057523519999</v>
      </c>
      <c r="Q142" s="266">
        <f t="shared" si="76"/>
        <v>4968.1245068226999</v>
      </c>
      <c r="R142" s="266">
        <f t="shared" si="76"/>
        <v>7173.1435919324995</v>
      </c>
      <c r="S142" s="266">
        <f t="shared" si="76"/>
        <v>12141.268098755199</v>
      </c>
      <c r="T142" s="266">
        <f t="shared" si="77"/>
        <v>5017.8057518909272</v>
      </c>
      <c r="U142" s="266">
        <f t="shared" si="77"/>
        <v>7244.8750278518255</v>
      </c>
      <c r="V142" s="266">
        <f t="shared" si="77"/>
        <v>12262.680779742754</v>
      </c>
      <c r="W142" s="266">
        <f t="shared" si="78"/>
        <v>5067.9838094098359</v>
      </c>
      <c r="X142" s="266">
        <f t="shared" si="79"/>
        <v>12888.200740677734</v>
      </c>
      <c r="Y142" s="266">
        <f t="shared" si="80"/>
        <v>7317.3237781303424</v>
      </c>
      <c r="Z142" s="267">
        <f t="shared" si="81"/>
        <v>5118.663647503935</v>
      </c>
      <c r="AA142" s="267">
        <f t="shared" si="81"/>
        <v>7390.4970159116474</v>
      </c>
      <c r="AB142" s="267">
        <f t="shared" si="81"/>
        <v>12509.160663415583</v>
      </c>
      <c r="AC142" s="266">
        <f t="shared" si="82"/>
        <v>5169.8502839789753</v>
      </c>
      <c r="AD142" s="266">
        <f t="shared" si="82"/>
        <v>7464.4019860707649</v>
      </c>
      <c r="AE142" s="266">
        <f t="shared" si="82"/>
        <v>12634.252270049739</v>
      </c>
      <c r="AF142" s="266">
        <f t="shared" si="83"/>
        <v>5221.5487868187647</v>
      </c>
      <c r="AG142" s="268">
        <f t="shared" si="83"/>
        <v>7539.0460059314728</v>
      </c>
      <c r="AH142" s="266">
        <f t="shared" si="83"/>
        <v>12760.594792750237</v>
      </c>
    </row>
    <row r="143" spans="1:45" x14ac:dyDescent="0.25">
      <c r="A143" s="11" t="s">
        <v>603</v>
      </c>
      <c r="B143" s="11">
        <v>4166</v>
      </c>
      <c r="C143" s="11">
        <v>5684</v>
      </c>
      <c r="D143" s="11">
        <v>9850</v>
      </c>
      <c r="E143" s="266">
        <f t="shared" si="72"/>
        <v>4207.66</v>
      </c>
      <c r="F143" s="266">
        <f t="shared" si="72"/>
        <v>5740.84</v>
      </c>
      <c r="G143" s="266">
        <f t="shared" si="72"/>
        <v>9948.5</v>
      </c>
      <c r="H143" s="266">
        <f t="shared" si="73"/>
        <v>4249.7366000000002</v>
      </c>
      <c r="I143" s="266">
        <f t="shared" si="73"/>
        <v>5798.2484000000004</v>
      </c>
      <c r="J143" s="266">
        <f t="shared" si="73"/>
        <v>10047.985000000001</v>
      </c>
      <c r="K143" s="266">
        <f t="shared" si="74"/>
        <v>4292.2339659999998</v>
      </c>
      <c r="L143" s="266">
        <f t="shared" si="74"/>
        <v>5856.2308839999996</v>
      </c>
      <c r="M143" s="266">
        <f t="shared" si="74"/>
        <v>10148.464849999998</v>
      </c>
      <c r="N143" s="266">
        <f t="shared" si="75"/>
        <v>4335.1563056599998</v>
      </c>
      <c r="O143" s="266">
        <f t="shared" si="75"/>
        <v>5914.7931928400003</v>
      </c>
      <c r="P143" s="266">
        <f t="shared" si="75"/>
        <v>10249.9494985</v>
      </c>
      <c r="Q143" s="266">
        <f t="shared" si="76"/>
        <v>4378.5078687165997</v>
      </c>
      <c r="R143" s="266">
        <f t="shared" si="76"/>
        <v>5973.9411247683993</v>
      </c>
      <c r="S143" s="266">
        <f t="shared" si="76"/>
        <v>10352.448993484999</v>
      </c>
      <c r="T143" s="266">
        <f t="shared" si="77"/>
        <v>4422.2929474037664</v>
      </c>
      <c r="U143" s="266">
        <f t="shared" si="77"/>
        <v>6033.6805360160852</v>
      </c>
      <c r="V143" s="266">
        <f t="shared" si="77"/>
        <v>10455.973483419852</v>
      </c>
      <c r="W143" s="266">
        <f t="shared" si="78"/>
        <v>4466.5158768778028</v>
      </c>
      <c r="X143" s="266">
        <f t="shared" si="79"/>
        <v>10989.333214653367</v>
      </c>
      <c r="Y143" s="266">
        <f t="shared" si="80"/>
        <v>6094.0173413762441</v>
      </c>
      <c r="Z143" s="267">
        <f t="shared" si="81"/>
        <v>4511.1810356465821</v>
      </c>
      <c r="AA143" s="267">
        <f t="shared" si="81"/>
        <v>6154.9575147900077</v>
      </c>
      <c r="AB143" s="267">
        <f t="shared" si="81"/>
        <v>10666.13855043659</v>
      </c>
      <c r="AC143" s="266">
        <f t="shared" si="82"/>
        <v>4556.292846003048</v>
      </c>
      <c r="AD143" s="266">
        <f t="shared" si="82"/>
        <v>6216.5070899379089</v>
      </c>
      <c r="AE143" s="266">
        <f t="shared" si="82"/>
        <v>10772.799935940957</v>
      </c>
      <c r="AF143" s="266">
        <f t="shared" si="83"/>
        <v>4601.8557744630789</v>
      </c>
      <c r="AG143" s="268">
        <f t="shared" si="83"/>
        <v>6278.6721608372882</v>
      </c>
      <c r="AH143" s="266">
        <f t="shared" si="83"/>
        <v>10880.527935300366</v>
      </c>
    </row>
    <row r="144" spans="1:45" x14ac:dyDescent="0.25">
      <c r="A144" s="11" t="s">
        <v>604</v>
      </c>
      <c r="B144" s="11">
        <v>7410</v>
      </c>
      <c r="C144" s="11">
        <v>11614</v>
      </c>
      <c r="D144" s="11">
        <v>19024</v>
      </c>
      <c r="E144" s="266">
        <f t="shared" si="72"/>
        <v>7484.1</v>
      </c>
      <c r="F144" s="266">
        <f t="shared" si="72"/>
        <v>11730.14</v>
      </c>
      <c r="G144" s="266">
        <f t="shared" si="72"/>
        <v>19214.240000000002</v>
      </c>
      <c r="H144" s="266">
        <f t="shared" si="73"/>
        <v>7558.9409999999998</v>
      </c>
      <c r="I144" s="266">
        <f t="shared" si="73"/>
        <v>11847.4414</v>
      </c>
      <c r="J144" s="266">
        <f t="shared" si="73"/>
        <v>19406.382399999999</v>
      </c>
      <c r="K144" s="266">
        <f t="shared" si="74"/>
        <v>7634.5304099999994</v>
      </c>
      <c r="L144" s="266">
        <f t="shared" si="74"/>
        <v>11965.915813999998</v>
      </c>
      <c r="M144" s="266">
        <f t="shared" si="74"/>
        <v>19600.446223999999</v>
      </c>
      <c r="N144" s="266">
        <f t="shared" si="75"/>
        <v>7710.8757141000006</v>
      </c>
      <c r="O144" s="266">
        <f t="shared" si="75"/>
        <v>12085.574972140001</v>
      </c>
      <c r="P144" s="266">
        <f t="shared" si="75"/>
        <v>19796.450686240001</v>
      </c>
      <c r="Q144" s="266">
        <f t="shared" si="76"/>
        <v>7787.9844712409995</v>
      </c>
      <c r="R144" s="266">
        <f t="shared" si="76"/>
        <v>12206.430721861399</v>
      </c>
      <c r="S144" s="266">
        <f t="shared" si="76"/>
        <v>19994.415193102399</v>
      </c>
      <c r="T144" s="266">
        <f t="shared" si="77"/>
        <v>7865.8643159534113</v>
      </c>
      <c r="U144" s="266">
        <f t="shared" si="77"/>
        <v>12328.495029080015</v>
      </c>
      <c r="V144" s="266">
        <f t="shared" si="77"/>
        <v>20194.359345033427</v>
      </c>
      <c r="W144" s="266">
        <f t="shared" si="78"/>
        <v>7944.5229591129428</v>
      </c>
      <c r="X144" s="266">
        <f t="shared" si="79"/>
        <v>21224.474626960979</v>
      </c>
      <c r="Y144" s="266">
        <f t="shared" si="80"/>
        <v>12451.779979370813</v>
      </c>
      <c r="Z144" s="267">
        <f t="shared" si="81"/>
        <v>8023.9681887040742</v>
      </c>
      <c r="AA144" s="267">
        <f t="shared" si="81"/>
        <v>12576.297779164524</v>
      </c>
      <c r="AB144" s="267">
        <f t="shared" si="81"/>
        <v>20600.2659678686</v>
      </c>
      <c r="AC144" s="266">
        <f t="shared" si="82"/>
        <v>8104.2078705911163</v>
      </c>
      <c r="AD144" s="266">
        <f t="shared" si="82"/>
        <v>12702.060756956171</v>
      </c>
      <c r="AE144" s="266">
        <f t="shared" si="82"/>
        <v>20806.268627547284</v>
      </c>
      <c r="AF144" s="266">
        <f t="shared" si="83"/>
        <v>8185.2499492970273</v>
      </c>
      <c r="AG144" s="268">
        <f t="shared" si="83"/>
        <v>12829.081364525731</v>
      </c>
      <c r="AH144" s="266">
        <f t="shared" si="83"/>
        <v>21014.33131382276</v>
      </c>
    </row>
    <row r="145" spans="1:45" x14ac:dyDescent="0.25">
      <c r="A145" s="11" t="s">
        <v>605</v>
      </c>
      <c r="B145" s="11">
        <v>288</v>
      </c>
      <c r="C145" s="11">
        <v>399</v>
      </c>
      <c r="D145" s="11">
        <v>687</v>
      </c>
      <c r="E145" s="266">
        <f t="shared" si="72"/>
        <v>290.88</v>
      </c>
      <c r="F145" s="266">
        <f t="shared" si="72"/>
        <v>402.99</v>
      </c>
      <c r="G145" s="266">
        <f t="shared" si="72"/>
        <v>693.87</v>
      </c>
      <c r="H145" s="266">
        <f t="shared" si="73"/>
        <v>293.78879999999998</v>
      </c>
      <c r="I145" s="266">
        <f t="shared" si="73"/>
        <v>407.01990000000001</v>
      </c>
      <c r="J145" s="266">
        <f t="shared" si="73"/>
        <v>700.80870000000004</v>
      </c>
      <c r="K145" s="266">
        <f t="shared" si="74"/>
        <v>296.72668799999997</v>
      </c>
      <c r="L145" s="266">
        <f t="shared" si="74"/>
        <v>411.09009899999995</v>
      </c>
      <c r="M145" s="266">
        <f t="shared" si="74"/>
        <v>707.81678699999998</v>
      </c>
      <c r="N145" s="266">
        <f t="shared" si="75"/>
        <v>299.69395487999998</v>
      </c>
      <c r="O145" s="266">
        <f t="shared" si="75"/>
        <v>415.20099999000001</v>
      </c>
      <c r="P145" s="266">
        <f t="shared" si="75"/>
        <v>714.89495486999999</v>
      </c>
      <c r="Q145" s="266">
        <f t="shared" si="76"/>
        <v>302.69089442879999</v>
      </c>
      <c r="R145" s="266">
        <f t="shared" si="76"/>
        <v>419.35300998989999</v>
      </c>
      <c r="S145" s="266">
        <f t="shared" si="76"/>
        <v>722.04390441869998</v>
      </c>
      <c r="T145" s="266">
        <f t="shared" si="77"/>
        <v>305.71780337308803</v>
      </c>
      <c r="U145" s="266">
        <f t="shared" si="77"/>
        <v>423.54654008979907</v>
      </c>
      <c r="V145" s="266">
        <f t="shared" si="77"/>
        <v>729.26434346288704</v>
      </c>
      <c r="W145" s="266">
        <f t="shared" si="78"/>
        <v>308.77498140681882</v>
      </c>
      <c r="X145" s="266">
        <f t="shared" si="79"/>
        <v>766.46415415907234</v>
      </c>
      <c r="Y145" s="266">
        <f t="shared" si="80"/>
        <v>427.78200549069692</v>
      </c>
      <c r="Z145" s="267">
        <f t="shared" si="81"/>
        <v>311.8627312208871</v>
      </c>
      <c r="AA145" s="267">
        <f t="shared" si="81"/>
        <v>432.05982554560399</v>
      </c>
      <c r="AB145" s="267">
        <f t="shared" si="81"/>
        <v>743.92255676649108</v>
      </c>
      <c r="AC145" s="266">
        <f t="shared" si="82"/>
        <v>314.981358533096</v>
      </c>
      <c r="AD145" s="266">
        <f t="shared" si="82"/>
        <v>436.38042380106009</v>
      </c>
      <c r="AE145" s="266">
        <f t="shared" si="82"/>
        <v>751.36178233415603</v>
      </c>
      <c r="AF145" s="266">
        <f t="shared" si="83"/>
        <v>318.13117211842695</v>
      </c>
      <c r="AG145" s="268">
        <f t="shared" si="83"/>
        <v>440.74422803907072</v>
      </c>
      <c r="AH145" s="266">
        <f t="shared" si="83"/>
        <v>758.87540015749767</v>
      </c>
    </row>
    <row r="146" spans="1:45" x14ac:dyDescent="0.25">
      <c r="A146" s="263" t="s">
        <v>2</v>
      </c>
      <c r="B146" s="263">
        <v>326967</v>
      </c>
      <c r="C146" s="263">
        <v>356926</v>
      </c>
      <c r="D146" s="263">
        <v>683893</v>
      </c>
      <c r="E146" s="270">
        <f t="shared" si="72"/>
        <v>330236.67</v>
      </c>
      <c r="F146" s="270">
        <f t="shared" si="72"/>
        <v>360495.26</v>
      </c>
      <c r="G146" s="270">
        <f t="shared" si="72"/>
        <v>690731.93</v>
      </c>
      <c r="H146" s="270">
        <f t="shared" si="73"/>
        <v>333539.0367</v>
      </c>
      <c r="I146" s="270">
        <f t="shared" si="73"/>
        <v>364100.21260000003</v>
      </c>
      <c r="J146" s="270">
        <f t="shared" si="73"/>
        <v>697639.24930000002</v>
      </c>
      <c r="K146" s="270">
        <f t="shared" si="74"/>
        <v>336874.42706699995</v>
      </c>
      <c r="L146" s="270">
        <f t="shared" si="74"/>
        <v>367741.21472599998</v>
      </c>
      <c r="M146" s="270">
        <f t="shared" si="74"/>
        <v>704615.64179299993</v>
      </c>
      <c r="N146" s="270">
        <f t="shared" si="75"/>
        <v>340243.17133767001</v>
      </c>
      <c r="O146" s="270">
        <f t="shared" si="75"/>
        <v>371418.62687326001</v>
      </c>
      <c r="P146" s="270">
        <f t="shared" si="75"/>
        <v>711661.79821092996</v>
      </c>
      <c r="Q146" s="270">
        <f t="shared" si="76"/>
        <v>343645.60305104667</v>
      </c>
      <c r="R146" s="270">
        <f t="shared" si="76"/>
        <v>375132.81314199255</v>
      </c>
      <c r="S146" s="270">
        <f t="shared" si="76"/>
        <v>718778.41619303927</v>
      </c>
      <c r="T146" s="270">
        <f t="shared" si="77"/>
        <v>347082.05908155721</v>
      </c>
      <c r="U146" s="270">
        <f t="shared" si="77"/>
        <v>378884.14127341256</v>
      </c>
      <c r="V146" s="270">
        <f t="shared" si="77"/>
        <v>725966.20035496983</v>
      </c>
      <c r="W146" s="270">
        <f t="shared" si="78"/>
        <v>350552.87967237266</v>
      </c>
      <c r="X146" s="270">
        <f t="shared" si="79"/>
        <v>762997.77260598319</v>
      </c>
      <c r="Y146" s="270">
        <f t="shared" si="80"/>
        <v>382672.98268614657</v>
      </c>
      <c r="Z146" s="271">
        <f t="shared" si="81"/>
        <v>354058.40846909652</v>
      </c>
      <c r="AA146" s="271">
        <f t="shared" si="81"/>
        <v>386499.71251300815</v>
      </c>
      <c r="AB146" s="271">
        <f t="shared" si="81"/>
        <v>740558.12098210468</v>
      </c>
      <c r="AC146" s="270">
        <f t="shared" si="82"/>
        <v>357598.99255378748</v>
      </c>
      <c r="AD146" s="270">
        <f t="shared" si="82"/>
        <v>390364.7096381383</v>
      </c>
      <c r="AE146" s="270">
        <f t="shared" si="82"/>
        <v>747963.70219192572</v>
      </c>
      <c r="AF146" s="270">
        <f t="shared" si="83"/>
        <v>361174.98247932538</v>
      </c>
      <c r="AG146" s="272">
        <f t="shared" si="83"/>
        <v>394268.35673451965</v>
      </c>
      <c r="AH146" s="270">
        <f t="shared" si="83"/>
        <v>755443.33921384509</v>
      </c>
    </row>
    <row r="147" spans="1:45" x14ac:dyDescent="0.25">
      <c r="A147" s="279"/>
      <c r="B147" s="279"/>
      <c r="C147" s="279"/>
      <c r="D147" s="279"/>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1"/>
      <c r="AA147" s="282"/>
      <c r="AB147" s="282"/>
      <c r="AC147" s="280"/>
      <c r="AD147" s="280"/>
      <c r="AE147" s="280"/>
      <c r="AF147" s="280"/>
      <c r="AG147" s="280"/>
      <c r="AH147" s="280"/>
    </row>
    <row r="148" spans="1:45" x14ac:dyDescent="0.25">
      <c r="A148" s="263" t="s">
        <v>614</v>
      </c>
      <c r="B148" s="273"/>
      <c r="C148" s="283">
        <v>2012</v>
      </c>
      <c r="D148" s="275"/>
      <c r="E148" s="351">
        <v>2013</v>
      </c>
      <c r="F148" s="352"/>
      <c r="G148" s="353"/>
      <c r="H148" s="351">
        <v>2014</v>
      </c>
      <c r="I148" s="352"/>
      <c r="J148" s="353"/>
      <c r="K148" s="351">
        <v>2015</v>
      </c>
      <c r="L148" s="352"/>
      <c r="M148" s="353"/>
      <c r="N148" s="351">
        <v>2016</v>
      </c>
      <c r="O148" s="352"/>
      <c r="P148" s="353"/>
      <c r="Q148" s="351">
        <v>2017</v>
      </c>
      <c r="R148" s="352"/>
      <c r="S148" s="353"/>
      <c r="T148" s="351">
        <v>2018</v>
      </c>
      <c r="U148" s="352"/>
      <c r="V148" s="353"/>
      <c r="W148" s="351">
        <v>2019</v>
      </c>
      <c r="X148" s="352"/>
      <c r="Y148" s="353"/>
      <c r="Z148" s="354">
        <v>2020</v>
      </c>
      <c r="AA148" s="355"/>
      <c r="AB148" s="356"/>
      <c r="AC148" s="351">
        <v>2021</v>
      </c>
      <c r="AD148" s="352"/>
      <c r="AE148" s="353"/>
      <c r="AF148" s="351">
        <v>2022</v>
      </c>
      <c r="AG148" s="352"/>
      <c r="AH148" s="353"/>
    </row>
    <row r="149" spans="1:45" x14ac:dyDescent="0.25">
      <c r="A149" s="263" t="s">
        <v>581</v>
      </c>
      <c r="B149" s="264" t="s">
        <v>582</v>
      </c>
      <c r="C149" s="264" t="s">
        <v>583</v>
      </c>
      <c r="D149" s="264" t="s">
        <v>2</v>
      </c>
      <c r="E149" s="264" t="s">
        <v>582</v>
      </c>
      <c r="F149" s="264" t="s">
        <v>583</v>
      </c>
      <c r="G149" s="264" t="s">
        <v>2</v>
      </c>
      <c r="H149" s="264" t="s">
        <v>582</v>
      </c>
      <c r="I149" s="264" t="s">
        <v>583</v>
      </c>
      <c r="J149" s="264" t="s">
        <v>2</v>
      </c>
      <c r="K149" s="264" t="s">
        <v>582</v>
      </c>
      <c r="L149" s="264" t="s">
        <v>583</v>
      </c>
      <c r="M149" s="264" t="s">
        <v>2</v>
      </c>
      <c r="N149" s="264" t="s">
        <v>582</v>
      </c>
      <c r="O149" s="264" t="s">
        <v>583</v>
      </c>
      <c r="P149" s="264" t="s">
        <v>2</v>
      </c>
      <c r="Q149" s="264" t="s">
        <v>582</v>
      </c>
      <c r="R149" s="264" t="s">
        <v>583</v>
      </c>
      <c r="S149" s="264" t="s">
        <v>2</v>
      </c>
      <c r="T149" s="264" t="s">
        <v>582</v>
      </c>
      <c r="U149" s="264" t="s">
        <v>583</v>
      </c>
      <c r="V149" s="264" t="s">
        <v>2</v>
      </c>
      <c r="W149" s="264" t="s">
        <v>582</v>
      </c>
      <c r="X149" s="264" t="s">
        <v>583</v>
      </c>
      <c r="Y149" s="264" t="s">
        <v>2</v>
      </c>
      <c r="Z149" s="265" t="s">
        <v>582</v>
      </c>
      <c r="AA149" s="265" t="s">
        <v>583</v>
      </c>
      <c r="AB149" s="265" t="s">
        <v>2</v>
      </c>
      <c r="AC149" s="264" t="s">
        <v>582</v>
      </c>
      <c r="AD149" s="264" t="s">
        <v>583</v>
      </c>
      <c r="AE149" s="264" t="s">
        <v>2</v>
      </c>
      <c r="AF149" s="264" t="s">
        <v>582</v>
      </c>
      <c r="AG149" s="264" t="s">
        <v>583</v>
      </c>
      <c r="AH149" s="264" t="s">
        <v>2</v>
      </c>
      <c r="AI149" t="s">
        <v>3</v>
      </c>
      <c r="AJ149" t="s">
        <v>4</v>
      </c>
      <c r="AK149" t="s">
        <v>584</v>
      </c>
      <c r="AL149" t="s">
        <v>631</v>
      </c>
      <c r="AM149" t="s">
        <v>632</v>
      </c>
      <c r="AN149" t="s">
        <v>633</v>
      </c>
      <c r="AO149" t="s">
        <v>585</v>
      </c>
      <c r="AP149" t="s">
        <v>586</v>
      </c>
      <c r="AQ149" t="s">
        <v>587</v>
      </c>
      <c r="AS149" t="s">
        <v>588</v>
      </c>
    </row>
    <row r="150" spans="1:45" x14ac:dyDescent="0.25">
      <c r="A150" s="11" t="s">
        <v>589</v>
      </c>
      <c r="B150" s="11">
        <v>122879</v>
      </c>
      <c r="C150" s="11">
        <v>123603</v>
      </c>
      <c r="D150" s="11">
        <v>246482</v>
      </c>
      <c r="E150" s="266">
        <f>B150*1.01</f>
        <v>124107.79000000001</v>
      </c>
      <c r="F150" s="266">
        <f>C150*1.01</f>
        <v>124839.03</v>
      </c>
      <c r="G150" s="266">
        <f>D150*1.01</f>
        <v>248946.82</v>
      </c>
      <c r="H150" s="266">
        <f>B150*1.01^2</f>
        <v>125348.8679</v>
      </c>
      <c r="I150" s="266">
        <f>C150*1.01^2</f>
        <v>126087.4203</v>
      </c>
      <c r="J150" s="266">
        <f>D150*1.01^2</f>
        <v>251436.28820000001</v>
      </c>
      <c r="K150" s="266">
        <f>B150*1.01^3</f>
        <v>126602.35657899998</v>
      </c>
      <c r="L150" s="266">
        <f>C150*1.01^3</f>
        <v>127348.29450299998</v>
      </c>
      <c r="M150" s="266">
        <f>D150*1.01^3</f>
        <v>253950.65108199997</v>
      </c>
      <c r="N150" s="266">
        <f>B150*1.01^4</f>
        <v>127868.38014479</v>
      </c>
      <c r="O150" s="266">
        <f>C150*1.01^4</f>
        <v>128621.77744803</v>
      </c>
      <c r="P150" s="266">
        <f>D150*1.01^4</f>
        <v>256490.15759282</v>
      </c>
      <c r="Q150" s="266">
        <f>B150*1.01^5</f>
        <v>129147.06394623789</v>
      </c>
      <c r="R150" s="266">
        <f>C150*1.01^5</f>
        <v>129907.99522251029</v>
      </c>
      <c r="S150" s="266">
        <f>D150*1.01^5</f>
        <v>259055.05916874818</v>
      </c>
      <c r="T150" s="266">
        <f>B150*1.01^6</f>
        <v>130438.5345857003</v>
      </c>
      <c r="U150" s="266">
        <f>C150*1.01^6</f>
        <v>131207.07517473542</v>
      </c>
      <c r="V150" s="266">
        <f>D150*1.01^6</f>
        <v>261645.60976043571</v>
      </c>
      <c r="W150" s="266">
        <f>B150*1.01^7</f>
        <v>131742.91993155726</v>
      </c>
      <c r="X150" s="266">
        <f>P150*1.01^7</f>
        <v>274992.16542276053</v>
      </c>
      <c r="Y150" s="266">
        <f>C150*1.01^7</f>
        <v>132519.14592648274</v>
      </c>
      <c r="Z150" s="267">
        <f>B150*1.01^8</f>
        <v>133060.34913087287</v>
      </c>
      <c r="AA150" s="267">
        <f>C150*1.01^8</f>
        <v>133844.33738574761</v>
      </c>
      <c r="AB150" s="267">
        <f>D150*1.01^8</f>
        <v>266904.68651662045</v>
      </c>
      <c r="AC150" s="266">
        <f>B150*1.01^9</f>
        <v>134390.95262218162</v>
      </c>
      <c r="AD150" s="266">
        <f>C150*1.01^9</f>
        <v>135182.78075960508</v>
      </c>
      <c r="AE150" s="266">
        <f>D150*1.01^9</f>
        <v>269573.73338178667</v>
      </c>
      <c r="AF150" s="266">
        <f>B150*1.01^10</f>
        <v>135734.86214840342</v>
      </c>
      <c r="AG150" s="268">
        <f>C150*1.01^10</f>
        <v>136534.60856720115</v>
      </c>
      <c r="AH150" s="266">
        <f>D150*1.01^10</f>
        <v>272269.47071560455</v>
      </c>
      <c r="AI150" s="6">
        <f>Z167/AB167</f>
        <v>0.48052034099078544</v>
      </c>
      <c r="AJ150" s="6">
        <f>AA167/AB167</f>
        <v>0.51947965900921456</v>
      </c>
      <c r="AK150" s="6">
        <f>AB150/AB167</f>
        <v>0.15262600924739664</v>
      </c>
      <c r="AL150" s="6">
        <f>SUM(AB150:AB152)/AB167</f>
        <v>0.42572081580689325</v>
      </c>
      <c r="AM150" s="6">
        <f>SUM(Z150:Z152)/Z167</f>
        <v>0.44290294479982267</v>
      </c>
      <c r="AN150" s="6">
        <f>SUM(AA150:AA152)/AA167</f>
        <v>0.40982729170168158</v>
      </c>
      <c r="AO150" s="6">
        <f>SUM(AB150:AB153)/AB167</f>
        <v>0.53665180337857543</v>
      </c>
      <c r="AP150" s="6">
        <f>SUM(AA153:AA159)/AA167</f>
        <v>0.46757472920831195</v>
      </c>
      <c r="AQ150" s="6">
        <f>SUM(Z153:Z159)/Z167</f>
        <v>0.46066297943846229</v>
      </c>
      <c r="AR150" s="6"/>
      <c r="AS150" s="6">
        <f>SUM(AB163:AB165)/AB167</f>
        <v>4.2132189349332265E-2</v>
      </c>
    </row>
    <row r="151" spans="1:45" x14ac:dyDescent="0.25">
      <c r="A151" s="269" t="s">
        <v>590</v>
      </c>
      <c r="B151" s="11">
        <v>108668</v>
      </c>
      <c r="C151" s="11">
        <v>109875</v>
      </c>
      <c r="D151" s="11">
        <v>218543</v>
      </c>
      <c r="E151" s="266">
        <f t="shared" ref="E151:G167" si="84">B151*1.01</f>
        <v>109754.68000000001</v>
      </c>
      <c r="F151" s="266">
        <f t="shared" si="84"/>
        <v>110973.75</v>
      </c>
      <c r="G151" s="266">
        <f t="shared" si="84"/>
        <v>220728.43</v>
      </c>
      <c r="H151" s="266">
        <f t="shared" ref="H151:J167" si="85">B151*1.01^2</f>
        <v>110852.2268</v>
      </c>
      <c r="I151" s="266">
        <f t="shared" si="85"/>
        <v>112083.4875</v>
      </c>
      <c r="J151" s="266">
        <f t="shared" si="85"/>
        <v>222935.71429999999</v>
      </c>
      <c r="K151" s="266">
        <f t="shared" ref="K151:M167" si="86">B151*1.01^3</f>
        <v>111960.74906799999</v>
      </c>
      <c r="L151" s="266">
        <f t="shared" si="86"/>
        <v>113204.32237499999</v>
      </c>
      <c r="M151" s="266">
        <f t="shared" si="86"/>
        <v>225165.07144299999</v>
      </c>
      <c r="N151" s="266">
        <f t="shared" ref="N151:P167" si="87">B151*1.01^4</f>
        <v>113080.35655868</v>
      </c>
      <c r="O151" s="266">
        <f t="shared" si="87"/>
        <v>114336.36559875001</v>
      </c>
      <c r="P151" s="266">
        <f t="shared" si="87"/>
        <v>227416.72215742999</v>
      </c>
      <c r="Q151" s="266">
        <f t="shared" ref="Q151:S167" si="88">B151*1.01^5</f>
        <v>114211.1601242668</v>
      </c>
      <c r="R151" s="266">
        <f t="shared" si="88"/>
        <v>115479.7292547375</v>
      </c>
      <c r="S151" s="266">
        <f t="shared" si="88"/>
        <v>229690.88937900428</v>
      </c>
      <c r="T151" s="266">
        <f t="shared" ref="T151:V167" si="89">B151*1.01^6</f>
        <v>115353.27172550948</v>
      </c>
      <c r="U151" s="266">
        <f t="shared" si="89"/>
        <v>116634.52654728488</v>
      </c>
      <c r="V151" s="266">
        <f t="shared" si="89"/>
        <v>231987.79827279437</v>
      </c>
      <c r="W151" s="266">
        <f t="shared" ref="W151:W167" si="90">B151*1.01^7</f>
        <v>116506.80444276455</v>
      </c>
      <c r="X151" s="266">
        <f t="shared" ref="X151:X167" si="91">P151*1.01^7</f>
        <v>243821.50748527824</v>
      </c>
      <c r="Y151" s="266">
        <f t="shared" ref="Y151:Y167" si="92">C151*1.01^7</f>
        <v>117800.8718127577</v>
      </c>
      <c r="Z151" s="267">
        <f t="shared" ref="Z151:AB167" si="93">B151*1.01^8</f>
        <v>117671.87248719222</v>
      </c>
      <c r="AA151" s="267">
        <f t="shared" si="93"/>
        <v>118978.88053088532</v>
      </c>
      <c r="AB151" s="267">
        <f t="shared" si="93"/>
        <v>236650.75301807755</v>
      </c>
      <c r="AC151" s="266">
        <f t="shared" ref="AC151:AE167" si="94">B151*1.01^9</f>
        <v>118848.59121206416</v>
      </c>
      <c r="AD151" s="266">
        <f t="shared" si="94"/>
        <v>120168.66933619417</v>
      </c>
      <c r="AE151" s="266">
        <f t="shared" si="94"/>
        <v>239017.26054825832</v>
      </c>
      <c r="AF151" s="266">
        <f t="shared" ref="AF151:AH167" si="95">B151*1.01^10</f>
        <v>120037.0771241848</v>
      </c>
      <c r="AG151" s="268">
        <f t="shared" si="95"/>
        <v>121370.35602955612</v>
      </c>
      <c r="AH151" s="266">
        <f t="shared" si="95"/>
        <v>241407.43315374092</v>
      </c>
    </row>
    <row r="152" spans="1:45" x14ac:dyDescent="0.25">
      <c r="A152" s="269" t="s">
        <v>591</v>
      </c>
      <c r="B152" s="11">
        <v>112151</v>
      </c>
      <c r="C152" s="11">
        <v>110338</v>
      </c>
      <c r="D152" s="11">
        <v>222489</v>
      </c>
      <c r="E152" s="266">
        <f t="shared" si="84"/>
        <v>113272.51</v>
      </c>
      <c r="F152" s="266">
        <f t="shared" si="84"/>
        <v>111441.38</v>
      </c>
      <c r="G152" s="266">
        <f t="shared" si="84"/>
        <v>224713.89</v>
      </c>
      <c r="H152" s="266">
        <f t="shared" si="85"/>
        <v>114405.23510000001</v>
      </c>
      <c r="I152" s="266">
        <f t="shared" si="85"/>
        <v>112555.7938</v>
      </c>
      <c r="J152" s="266">
        <f t="shared" si="85"/>
        <v>226961.0289</v>
      </c>
      <c r="K152" s="266">
        <f t="shared" si="86"/>
        <v>115549.287451</v>
      </c>
      <c r="L152" s="266">
        <f t="shared" si="86"/>
        <v>113681.35173799998</v>
      </c>
      <c r="M152" s="266">
        <f t="shared" si="86"/>
        <v>229230.63918899998</v>
      </c>
      <c r="N152" s="266">
        <f t="shared" si="87"/>
        <v>116704.78032551</v>
      </c>
      <c r="O152" s="266">
        <f t="shared" si="87"/>
        <v>114818.16525538001</v>
      </c>
      <c r="P152" s="266">
        <f t="shared" si="87"/>
        <v>231522.94558088999</v>
      </c>
      <c r="Q152" s="266">
        <f t="shared" si="88"/>
        <v>117871.82812876509</v>
      </c>
      <c r="R152" s="266">
        <f t="shared" si="88"/>
        <v>115966.3469079338</v>
      </c>
      <c r="S152" s="266">
        <f t="shared" si="88"/>
        <v>233838.17503669887</v>
      </c>
      <c r="T152" s="266">
        <f t="shared" si="89"/>
        <v>119050.54641005276</v>
      </c>
      <c r="U152" s="266">
        <f t="shared" si="89"/>
        <v>117126.01037701315</v>
      </c>
      <c r="V152" s="266">
        <f t="shared" si="89"/>
        <v>236176.55678706593</v>
      </c>
      <c r="W152" s="266">
        <f t="shared" si="90"/>
        <v>120241.05187415326</v>
      </c>
      <c r="X152" s="266">
        <f t="shared" si="91"/>
        <v>248223.93478121958</v>
      </c>
      <c r="Y152" s="266">
        <f t="shared" si="92"/>
        <v>118297.27048078325</v>
      </c>
      <c r="Z152" s="267">
        <f t="shared" si="93"/>
        <v>121443.46239289483</v>
      </c>
      <c r="AA152" s="267">
        <f t="shared" si="93"/>
        <v>119480.24318559111</v>
      </c>
      <c r="AB152" s="267">
        <f t="shared" si="93"/>
        <v>240923.70557848594</v>
      </c>
      <c r="AC152" s="266">
        <f t="shared" si="94"/>
        <v>122657.89701682379</v>
      </c>
      <c r="AD152" s="266">
        <f t="shared" si="94"/>
        <v>120675.04561744703</v>
      </c>
      <c r="AE152" s="266">
        <f t="shared" si="94"/>
        <v>243332.94263427082</v>
      </c>
      <c r="AF152" s="266">
        <f t="shared" si="95"/>
        <v>123884.47598699202</v>
      </c>
      <c r="AG152" s="268">
        <f t="shared" si="95"/>
        <v>121881.7960736215</v>
      </c>
      <c r="AH152" s="266">
        <f t="shared" si="95"/>
        <v>245766.27206061353</v>
      </c>
    </row>
    <row r="153" spans="1:45" x14ac:dyDescent="0.25">
      <c r="A153" s="11" t="s">
        <v>592</v>
      </c>
      <c r="B153" s="11">
        <v>90276</v>
      </c>
      <c r="C153" s="11">
        <v>88871</v>
      </c>
      <c r="D153" s="11">
        <v>179147</v>
      </c>
      <c r="E153" s="266">
        <f t="shared" si="84"/>
        <v>91178.76</v>
      </c>
      <c r="F153" s="266">
        <f t="shared" si="84"/>
        <v>89759.71</v>
      </c>
      <c r="G153" s="266">
        <f t="shared" si="84"/>
        <v>180938.47</v>
      </c>
      <c r="H153" s="266">
        <f t="shared" si="85"/>
        <v>92090.547600000005</v>
      </c>
      <c r="I153" s="266">
        <f t="shared" si="85"/>
        <v>90657.307100000005</v>
      </c>
      <c r="J153" s="266">
        <f t="shared" si="85"/>
        <v>182747.8547</v>
      </c>
      <c r="K153" s="266">
        <f t="shared" si="86"/>
        <v>93011.453075999991</v>
      </c>
      <c r="L153" s="266">
        <f t="shared" si="86"/>
        <v>91563.880170999997</v>
      </c>
      <c r="M153" s="266">
        <f t="shared" si="86"/>
        <v>184575.33324699997</v>
      </c>
      <c r="N153" s="266">
        <f t="shared" si="87"/>
        <v>93941.56760676</v>
      </c>
      <c r="O153" s="266">
        <f t="shared" si="87"/>
        <v>92479.518972710008</v>
      </c>
      <c r="P153" s="266">
        <f t="shared" si="87"/>
        <v>186421.08657946999</v>
      </c>
      <c r="Q153" s="266">
        <f t="shared" si="88"/>
        <v>94880.983282827598</v>
      </c>
      <c r="R153" s="266">
        <f t="shared" si="88"/>
        <v>93404.314162437091</v>
      </c>
      <c r="S153" s="266">
        <f t="shared" si="88"/>
        <v>188285.29744526467</v>
      </c>
      <c r="T153" s="266">
        <f t="shared" si="89"/>
        <v>95829.793115655892</v>
      </c>
      <c r="U153" s="266">
        <f t="shared" si="89"/>
        <v>94338.357304061487</v>
      </c>
      <c r="V153" s="266">
        <f t="shared" si="89"/>
        <v>190168.15041971736</v>
      </c>
      <c r="W153" s="266">
        <f t="shared" si="90"/>
        <v>96788.09104681242</v>
      </c>
      <c r="X153" s="266">
        <f t="shared" si="91"/>
        <v>199868.63730005143</v>
      </c>
      <c r="Y153" s="266">
        <f t="shared" si="92"/>
        <v>95281.740877102071</v>
      </c>
      <c r="Z153" s="267">
        <f t="shared" si="93"/>
        <v>97755.971957280577</v>
      </c>
      <c r="AA153" s="267">
        <f t="shared" si="93"/>
        <v>96234.558285873121</v>
      </c>
      <c r="AB153" s="267">
        <f t="shared" si="93"/>
        <v>193990.53024315368</v>
      </c>
      <c r="AC153" s="266">
        <f t="shared" si="94"/>
        <v>98733.531676853381</v>
      </c>
      <c r="AD153" s="266">
        <f t="shared" si="94"/>
        <v>97196.903868731853</v>
      </c>
      <c r="AE153" s="266">
        <f t="shared" si="94"/>
        <v>195930.43554558523</v>
      </c>
      <c r="AF153" s="266">
        <f t="shared" si="95"/>
        <v>99720.866993621923</v>
      </c>
      <c r="AG153" s="268">
        <f t="shared" si="95"/>
        <v>98168.87290741918</v>
      </c>
      <c r="AH153" s="266">
        <f t="shared" si="95"/>
        <v>197889.73990104109</v>
      </c>
    </row>
    <row r="154" spans="1:45" x14ac:dyDescent="0.25">
      <c r="A154" s="11" t="s">
        <v>593</v>
      </c>
      <c r="B154" s="11">
        <v>66011</v>
      </c>
      <c r="C154" s="11">
        <v>78962</v>
      </c>
      <c r="D154" s="11">
        <v>144973</v>
      </c>
      <c r="E154" s="266">
        <f t="shared" si="84"/>
        <v>66671.11</v>
      </c>
      <c r="F154" s="266">
        <f t="shared" si="84"/>
        <v>79751.62</v>
      </c>
      <c r="G154" s="266">
        <f t="shared" si="84"/>
        <v>146422.73000000001</v>
      </c>
      <c r="H154" s="266">
        <f t="shared" si="85"/>
        <v>67337.821100000001</v>
      </c>
      <c r="I154" s="266">
        <f t="shared" si="85"/>
        <v>80549.136199999994</v>
      </c>
      <c r="J154" s="266">
        <f t="shared" si="85"/>
        <v>147886.95730000001</v>
      </c>
      <c r="K154" s="266">
        <f t="shared" si="86"/>
        <v>68011.199310999989</v>
      </c>
      <c r="L154" s="266">
        <f t="shared" si="86"/>
        <v>81354.627561999994</v>
      </c>
      <c r="M154" s="266">
        <f t="shared" si="86"/>
        <v>149365.82687299998</v>
      </c>
      <c r="N154" s="266">
        <f t="shared" si="87"/>
        <v>68691.31130411</v>
      </c>
      <c r="O154" s="266">
        <f t="shared" si="87"/>
        <v>82168.173837620008</v>
      </c>
      <c r="P154" s="266">
        <f t="shared" si="87"/>
        <v>150859.48514172999</v>
      </c>
      <c r="Q154" s="266">
        <f t="shared" si="88"/>
        <v>69378.224417151097</v>
      </c>
      <c r="R154" s="266">
        <f t="shared" si="88"/>
        <v>82989.855575996189</v>
      </c>
      <c r="S154" s="266">
        <f t="shared" si="88"/>
        <v>152368.07999314729</v>
      </c>
      <c r="T154" s="266">
        <f t="shared" si="89"/>
        <v>70072.006661322623</v>
      </c>
      <c r="U154" s="266">
        <f t="shared" si="89"/>
        <v>83819.75413175617</v>
      </c>
      <c r="V154" s="266">
        <f t="shared" si="89"/>
        <v>153891.76079307878</v>
      </c>
      <c r="W154" s="266">
        <f t="shared" si="90"/>
        <v>70772.72672793582</v>
      </c>
      <c r="X154" s="266">
        <f t="shared" si="91"/>
        <v>161741.78722111089</v>
      </c>
      <c r="Y154" s="266">
        <f t="shared" si="92"/>
        <v>84657.951673073709</v>
      </c>
      <c r="Z154" s="267">
        <f t="shared" si="93"/>
        <v>71480.453995215197</v>
      </c>
      <c r="AA154" s="267">
        <f t="shared" si="93"/>
        <v>85504.531189804475</v>
      </c>
      <c r="AB154" s="267">
        <f t="shared" si="93"/>
        <v>156984.98518501967</v>
      </c>
      <c r="AC154" s="266">
        <f t="shared" si="94"/>
        <v>72195.258535167362</v>
      </c>
      <c r="AD154" s="266">
        <f t="shared" si="94"/>
        <v>86359.576501702526</v>
      </c>
      <c r="AE154" s="266">
        <f t="shared" si="94"/>
        <v>158554.83503686989</v>
      </c>
      <c r="AF154" s="266">
        <f t="shared" si="95"/>
        <v>72917.21112051903</v>
      </c>
      <c r="AG154" s="268">
        <f t="shared" si="95"/>
        <v>87223.172266719543</v>
      </c>
      <c r="AH154" s="266">
        <f t="shared" si="95"/>
        <v>160140.38338723857</v>
      </c>
    </row>
    <row r="155" spans="1:45" x14ac:dyDescent="0.25">
      <c r="A155" s="11" t="s">
        <v>594</v>
      </c>
      <c r="B155" s="11">
        <v>59492</v>
      </c>
      <c r="C155" s="11">
        <v>71603</v>
      </c>
      <c r="D155" s="11">
        <v>131095</v>
      </c>
      <c r="E155" s="266">
        <f t="shared" si="84"/>
        <v>60086.92</v>
      </c>
      <c r="F155" s="266">
        <f t="shared" si="84"/>
        <v>72319.03</v>
      </c>
      <c r="G155" s="266">
        <f t="shared" si="84"/>
        <v>132405.95000000001</v>
      </c>
      <c r="H155" s="266">
        <f t="shared" si="85"/>
        <v>60687.789199999999</v>
      </c>
      <c r="I155" s="266">
        <f t="shared" si="85"/>
        <v>73042.220300000001</v>
      </c>
      <c r="J155" s="266">
        <f t="shared" si="85"/>
        <v>133730.00950000001</v>
      </c>
      <c r="K155" s="266">
        <f t="shared" si="86"/>
        <v>61294.667091999996</v>
      </c>
      <c r="L155" s="266">
        <f t="shared" si="86"/>
        <v>73772.642502999995</v>
      </c>
      <c r="M155" s="266">
        <f t="shared" si="86"/>
        <v>135067.309595</v>
      </c>
      <c r="N155" s="266">
        <f t="shared" si="87"/>
        <v>61907.613762920002</v>
      </c>
      <c r="O155" s="266">
        <f t="shared" si="87"/>
        <v>74510.368928030002</v>
      </c>
      <c r="P155" s="266">
        <f t="shared" si="87"/>
        <v>136417.98269095001</v>
      </c>
      <c r="Q155" s="266">
        <f t="shared" si="88"/>
        <v>62526.689900549194</v>
      </c>
      <c r="R155" s="266">
        <f t="shared" si="88"/>
        <v>75255.472617310297</v>
      </c>
      <c r="S155" s="266">
        <f t="shared" si="88"/>
        <v>137782.16251785948</v>
      </c>
      <c r="T155" s="266">
        <f t="shared" si="89"/>
        <v>63151.956799554697</v>
      </c>
      <c r="U155" s="266">
        <f t="shared" si="89"/>
        <v>76008.027343483409</v>
      </c>
      <c r="V155" s="266">
        <f t="shared" si="89"/>
        <v>139159.98414303811</v>
      </c>
      <c r="W155" s="266">
        <f t="shared" si="90"/>
        <v>63783.476367550225</v>
      </c>
      <c r="X155" s="266">
        <f t="shared" si="91"/>
        <v>146258.54190608967</v>
      </c>
      <c r="Y155" s="266">
        <f t="shared" si="92"/>
        <v>76768.10761691822</v>
      </c>
      <c r="Z155" s="267">
        <f t="shared" si="93"/>
        <v>64421.311131225746</v>
      </c>
      <c r="AA155" s="267">
        <f t="shared" si="93"/>
        <v>77535.788693087423</v>
      </c>
      <c r="AB155" s="267">
        <f t="shared" si="93"/>
        <v>141957.09982431319</v>
      </c>
      <c r="AC155" s="266">
        <f t="shared" si="94"/>
        <v>65065.524242538013</v>
      </c>
      <c r="AD155" s="266">
        <f t="shared" si="94"/>
        <v>78311.146580018307</v>
      </c>
      <c r="AE155" s="266">
        <f t="shared" si="94"/>
        <v>143376.67082255631</v>
      </c>
      <c r="AF155" s="266">
        <f t="shared" si="95"/>
        <v>65716.179484963388</v>
      </c>
      <c r="AG155" s="268">
        <f t="shared" si="95"/>
        <v>79094.258045818497</v>
      </c>
      <c r="AH155" s="266">
        <f t="shared" si="95"/>
        <v>144810.4375307819</v>
      </c>
    </row>
    <row r="156" spans="1:45" x14ac:dyDescent="0.25">
      <c r="A156" s="11" t="s">
        <v>595</v>
      </c>
      <c r="B156" s="11">
        <v>51082</v>
      </c>
      <c r="C156" s="11">
        <v>56123</v>
      </c>
      <c r="D156" s="11">
        <v>107205</v>
      </c>
      <c r="E156" s="266">
        <f t="shared" si="84"/>
        <v>51592.82</v>
      </c>
      <c r="F156" s="266">
        <f t="shared" si="84"/>
        <v>56684.23</v>
      </c>
      <c r="G156" s="266">
        <f t="shared" si="84"/>
        <v>108277.05</v>
      </c>
      <c r="H156" s="266">
        <f t="shared" si="85"/>
        <v>52108.748200000002</v>
      </c>
      <c r="I156" s="266">
        <f t="shared" si="85"/>
        <v>57251.0723</v>
      </c>
      <c r="J156" s="266">
        <f t="shared" si="85"/>
        <v>109359.8205</v>
      </c>
      <c r="K156" s="266">
        <f t="shared" si="86"/>
        <v>52629.835681999997</v>
      </c>
      <c r="L156" s="266">
        <f t="shared" si="86"/>
        <v>57823.583022999992</v>
      </c>
      <c r="M156" s="266">
        <f t="shared" si="86"/>
        <v>110453.41870499999</v>
      </c>
      <c r="N156" s="266">
        <f t="shared" si="87"/>
        <v>53156.134038820004</v>
      </c>
      <c r="O156" s="266">
        <f t="shared" si="87"/>
        <v>58401.818853230005</v>
      </c>
      <c r="P156" s="266">
        <f t="shared" si="87"/>
        <v>111557.95289205</v>
      </c>
      <c r="Q156" s="266">
        <f t="shared" si="88"/>
        <v>53687.695379208199</v>
      </c>
      <c r="R156" s="266">
        <f t="shared" si="88"/>
        <v>58985.837041762294</v>
      </c>
      <c r="S156" s="266">
        <f t="shared" si="88"/>
        <v>112673.53242097048</v>
      </c>
      <c r="T156" s="266">
        <f t="shared" si="89"/>
        <v>54224.572333000287</v>
      </c>
      <c r="U156" s="266">
        <f t="shared" si="89"/>
        <v>59575.695412179928</v>
      </c>
      <c r="V156" s="266">
        <f t="shared" si="89"/>
        <v>113800.26774518022</v>
      </c>
      <c r="W156" s="266">
        <f t="shared" si="90"/>
        <v>54766.818056330274</v>
      </c>
      <c r="X156" s="266">
        <f t="shared" si="91"/>
        <v>119605.22510425524</v>
      </c>
      <c r="Y156" s="266">
        <f t="shared" si="92"/>
        <v>60171.45236630171</v>
      </c>
      <c r="Z156" s="267">
        <f t="shared" si="93"/>
        <v>55314.486236893594</v>
      </c>
      <c r="AA156" s="267">
        <f t="shared" si="93"/>
        <v>60773.166889964748</v>
      </c>
      <c r="AB156" s="267">
        <f t="shared" si="93"/>
        <v>116087.65312685833</v>
      </c>
      <c r="AC156" s="266">
        <f t="shared" si="94"/>
        <v>55867.631099262537</v>
      </c>
      <c r="AD156" s="266">
        <f t="shared" si="94"/>
        <v>61380.898558864399</v>
      </c>
      <c r="AE156" s="266">
        <f t="shared" si="94"/>
        <v>117248.52965812694</v>
      </c>
      <c r="AF156" s="266">
        <f t="shared" si="95"/>
        <v>56426.307410255162</v>
      </c>
      <c r="AG156" s="268">
        <f t="shared" si="95"/>
        <v>61994.707544453042</v>
      </c>
      <c r="AH156" s="266">
        <f t="shared" si="95"/>
        <v>118421.01495470821</v>
      </c>
    </row>
    <row r="157" spans="1:45" x14ac:dyDescent="0.25">
      <c r="A157" s="11" t="s">
        <v>596</v>
      </c>
      <c r="B157" s="11">
        <v>41512</v>
      </c>
      <c r="C157" s="11">
        <v>43840</v>
      </c>
      <c r="D157" s="11">
        <v>85352</v>
      </c>
      <c r="E157" s="266">
        <f t="shared" si="84"/>
        <v>41927.120000000003</v>
      </c>
      <c r="F157" s="266">
        <f t="shared" si="84"/>
        <v>44278.400000000001</v>
      </c>
      <c r="G157" s="266">
        <f t="shared" si="84"/>
        <v>86205.52</v>
      </c>
      <c r="H157" s="266">
        <f t="shared" si="85"/>
        <v>42346.391199999998</v>
      </c>
      <c r="I157" s="266">
        <f t="shared" si="85"/>
        <v>44721.184000000001</v>
      </c>
      <c r="J157" s="266">
        <f t="shared" si="85"/>
        <v>87067.575200000007</v>
      </c>
      <c r="K157" s="266">
        <f t="shared" si="86"/>
        <v>42769.855111999997</v>
      </c>
      <c r="L157" s="266">
        <f t="shared" si="86"/>
        <v>45168.395839999997</v>
      </c>
      <c r="M157" s="266">
        <f t="shared" si="86"/>
        <v>87938.250951999988</v>
      </c>
      <c r="N157" s="266">
        <f t="shared" si="87"/>
        <v>43197.553663120001</v>
      </c>
      <c r="O157" s="266">
        <f t="shared" si="87"/>
        <v>45620.079798400002</v>
      </c>
      <c r="P157" s="266">
        <f t="shared" si="87"/>
        <v>88817.633461520003</v>
      </c>
      <c r="Q157" s="266">
        <f t="shared" si="88"/>
        <v>43629.529199751196</v>
      </c>
      <c r="R157" s="266">
        <f t="shared" si="88"/>
        <v>46076.280596384</v>
      </c>
      <c r="S157" s="266">
        <f t="shared" si="88"/>
        <v>89705.809796135189</v>
      </c>
      <c r="T157" s="266">
        <f t="shared" si="89"/>
        <v>44065.824491748717</v>
      </c>
      <c r="U157" s="266">
        <f t="shared" si="89"/>
        <v>46537.043402347845</v>
      </c>
      <c r="V157" s="266">
        <f t="shared" si="89"/>
        <v>90602.867894096562</v>
      </c>
      <c r="W157" s="266">
        <f t="shared" si="90"/>
        <v>44506.482736666192</v>
      </c>
      <c r="X157" s="266">
        <f t="shared" si="91"/>
        <v>95224.524724578092</v>
      </c>
      <c r="Y157" s="266">
        <f t="shared" si="92"/>
        <v>47002.413836371314</v>
      </c>
      <c r="Z157" s="267">
        <f t="shared" si="93"/>
        <v>44951.547564032866</v>
      </c>
      <c r="AA157" s="267">
        <f t="shared" si="93"/>
        <v>47472.437974735039</v>
      </c>
      <c r="AB157" s="267">
        <f t="shared" si="93"/>
        <v>92423.985538767898</v>
      </c>
      <c r="AC157" s="266">
        <f t="shared" si="94"/>
        <v>45401.063039673201</v>
      </c>
      <c r="AD157" s="266">
        <f t="shared" si="94"/>
        <v>47947.162354482389</v>
      </c>
      <c r="AE157" s="266">
        <f t="shared" si="94"/>
        <v>93348.225394155583</v>
      </c>
      <c r="AF157" s="266">
        <f t="shared" si="95"/>
        <v>45855.073670069934</v>
      </c>
      <c r="AG157" s="268">
        <f t="shared" si="95"/>
        <v>48426.633978027217</v>
      </c>
      <c r="AH157" s="266">
        <f t="shared" si="95"/>
        <v>94281.707648097145</v>
      </c>
    </row>
    <row r="158" spans="1:45" x14ac:dyDescent="0.25">
      <c r="A158" s="11" t="s">
        <v>597</v>
      </c>
      <c r="B158" s="11">
        <v>30775</v>
      </c>
      <c r="C158" s="11">
        <v>30698</v>
      </c>
      <c r="D158" s="11">
        <v>61473</v>
      </c>
      <c r="E158" s="266">
        <f t="shared" si="84"/>
        <v>31082.75</v>
      </c>
      <c r="F158" s="266">
        <f t="shared" si="84"/>
        <v>31004.98</v>
      </c>
      <c r="G158" s="266">
        <f t="shared" si="84"/>
        <v>62087.73</v>
      </c>
      <c r="H158" s="266">
        <f t="shared" si="85"/>
        <v>31393.577499999999</v>
      </c>
      <c r="I158" s="266">
        <f t="shared" si="85"/>
        <v>31315.0298</v>
      </c>
      <c r="J158" s="266">
        <f t="shared" si="85"/>
        <v>62708.607300000003</v>
      </c>
      <c r="K158" s="266">
        <f t="shared" si="86"/>
        <v>31707.513274999998</v>
      </c>
      <c r="L158" s="266">
        <f t="shared" si="86"/>
        <v>31628.180097999997</v>
      </c>
      <c r="M158" s="266">
        <f t="shared" si="86"/>
        <v>63335.693372999995</v>
      </c>
      <c r="N158" s="266">
        <f t="shared" si="87"/>
        <v>32024.588407750001</v>
      </c>
      <c r="O158" s="266">
        <f t="shared" si="87"/>
        <v>31944.46189898</v>
      </c>
      <c r="P158" s="266">
        <f t="shared" si="87"/>
        <v>63969.050306730001</v>
      </c>
      <c r="Q158" s="266">
        <f t="shared" si="88"/>
        <v>32344.834291827498</v>
      </c>
      <c r="R158" s="266">
        <f t="shared" si="88"/>
        <v>32263.906517969797</v>
      </c>
      <c r="S158" s="266">
        <f t="shared" si="88"/>
        <v>64608.740809797295</v>
      </c>
      <c r="T158" s="266">
        <f t="shared" si="89"/>
        <v>32668.282634745778</v>
      </c>
      <c r="U158" s="266">
        <f t="shared" si="89"/>
        <v>32586.545583149502</v>
      </c>
      <c r="V158" s="266">
        <f t="shared" si="89"/>
        <v>65254.82821789528</v>
      </c>
      <c r="W158" s="266">
        <f t="shared" si="90"/>
        <v>32994.965461093227</v>
      </c>
      <c r="X158" s="266">
        <f t="shared" si="91"/>
        <v>68583.48027455699</v>
      </c>
      <c r="Y158" s="266">
        <f t="shared" si="92"/>
        <v>32912.411038980987</v>
      </c>
      <c r="Z158" s="267">
        <f t="shared" si="93"/>
        <v>33324.915115704171</v>
      </c>
      <c r="AA158" s="267">
        <f t="shared" si="93"/>
        <v>33241.535149370808</v>
      </c>
      <c r="AB158" s="267">
        <f t="shared" si="93"/>
        <v>66566.450265074978</v>
      </c>
      <c r="AC158" s="266">
        <f t="shared" si="94"/>
        <v>33658.164266861211</v>
      </c>
      <c r="AD158" s="266">
        <f t="shared" si="94"/>
        <v>33573.950500864514</v>
      </c>
      <c r="AE158" s="266">
        <f t="shared" si="94"/>
        <v>67232.114767725725</v>
      </c>
      <c r="AF158" s="266">
        <f t="shared" si="95"/>
        <v>33994.745909529825</v>
      </c>
      <c r="AG158" s="268">
        <f t="shared" si="95"/>
        <v>33909.690005873163</v>
      </c>
      <c r="AH158" s="266">
        <f t="shared" si="95"/>
        <v>67904.435915402995</v>
      </c>
    </row>
    <row r="159" spans="1:45" x14ac:dyDescent="0.25">
      <c r="A159" s="11" t="s">
        <v>598</v>
      </c>
      <c r="B159" s="11">
        <v>18332</v>
      </c>
      <c r="C159" s="11">
        <v>22165</v>
      </c>
      <c r="D159" s="11">
        <v>40497</v>
      </c>
      <c r="E159" s="266">
        <f t="shared" si="84"/>
        <v>18515.32</v>
      </c>
      <c r="F159" s="266">
        <f t="shared" si="84"/>
        <v>22386.65</v>
      </c>
      <c r="G159" s="266">
        <f t="shared" si="84"/>
        <v>40901.97</v>
      </c>
      <c r="H159" s="266">
        <f>B159*1.01^2</f>
        <v>18700.4732</v>
      </c>
      <c r="I159" s="266">
        <f t="shared" si="85"/>
        <v>22610.516500000002</v>
      </c>
      <c r="J159" s="266">
        <f t="shared" si="85"/>
        <v>41310.989699999998</v>
      </c>
      <c r="K159" s="266">
        <f t="shared" si="86"/>
        <v>18887.477931999998</v>
      </c>
      <c r="L159" s="266">
        <f t="shared" si="86"/>
        <v>22836.621664999999</v>
      </c>
      <c r="M159" s="266">
        <f t="shared" si="86"/>
        <v>41724.099596999993</v>
      </c>
      <c r="N159" s="266">
        <f t="shared" si="87"/>
        <v>19076.35271132</v>
      </c>
      <c r="O159" s="266">
        <f t="shared" si="87"/>
        <v>23064.987881650002</v>
      </c>
      <c r="P159" s="266">
        <f t="shared" si="87"/>
        <v>42141.340592970002</v>
      </c>
      <c r="Q159" s="266">
        <f t="shared" si="88"/>
        <v>19267.116238433198</v>
      </c>
      <c r="R159" s="266">
        <f t="shared" si="88"/>
        <v>23295.637760466499</v>
      </c>
      <c r="S159" s="266">
        <f t="shared" si="88"/>
        <v>42562.753998899694</v>
      </c>
      <c r="T159" s="266">
        <f t="shared" si="89"/>
        <v>19459.787400817535</v>
      </c>
      <c r="U159" s="266">
        <f t="shared" si="89"/>
        <v>23528.594138071167</v>
      </c>
      <c r="V159" s="266">
        <f t="shared" si="89"/>
        <v>42988.381538888701</v>
      </c>
      <c r="W159" s="266">
        <f t="shared" si="90"/>
        <v>19654.385274825705</v>
      </c>
      <c r="X159" s="266">
        <f t="shared" si="91"/>
        <v>45181.22103490532</v>
      </c>
      <c r="Y159" s="266">
        <f t="shared" si="92"/>
        <v>23763.880079451872</v>
      </c>
      <c r="Z159" s="267">
        <f t="shared" si="93"/>
        <v>19850.929127573967</v>
      </c>
      <c r="AA159" s="267">
        <f t="shared" si="93"/>
        <v>24001.5188802464</v>
      </c>
      <c r="AB159" s="267">
        <f t="shared" si="93"/>
        <v>43852.448007820363</v>
      </c>
      <c r="AC159" s="266">
        <f t="shared" si="94"/>
        <v>20049.438418849706</v>
      </c>
      <c r="AD159" s="266">
        <f t="shared" si="94"/>
        <v>24241.534069048863</v>
      </c>
      <c r="AE159" s="266">
        <f t="shared" si="94"/>
        <v>44290.972487898573</v>
      </c>
      <c r="AF159" s="266">
        <f t="shared" si="95"/>
        <v>20249.932803038206</v>
      </c>
      <c r="AG159" s="268">
        <f t="shared" si="95"/>
        <v>24483.949409739354</v>
      </c>
      <c r="AH159" s="266">
        <f t="shared" si="95"/>
        <v>44733.882212777557</v>
      </c>
    </row>
    <row r="160" spans="1:45" x14ac:dyDescent="0.25">
      <c r="A160" s="11" t="s">
        <v>599</v>
      </c>
      <c r="B160" s="11">
        <v>16634</v>
      </c>
      <c r="C160" s="11">
        <v>25656</v>
      </c>
      <c r="D160" s="11">
        <v>42290</v>
      </c>
      <c r="E160" s="266">
        <f t="shared" si="84"/>
        <v>16800.34</v>
      </c>
      <c r="F160" s="266">
        <f t="shared" si="84"/>
        <v>25912.560000000001</v>
      </c>
      <c r="G160" s="266">
        <f t="shared" si="84"/>
        <v>42712.9</v>
      </c>
      <c r="H160" s="266">
        <f t="shared" si="85"/>
        <v>16968.343400000002</v>
      </c>
      <c r="I160" s="266">
        <f t="shared" si="85"/>
        <v>26171.685600000001</v>
      </c>
      <c r="J160" s="266">
        <f t="shared" si="85"/>
        <v>43140.029000000002</v>
      </c>
      <c r="K160" s="266">
        <f t="shared" si="86"/>
        <v>17138.026834</v>
      </c>
      <c r="L160" s="266">
        <f t="shared" si="86"/>
        <v>26433.402455999996</v>
      </c>
      <c r="M160" s="266">
        <f t="shared" si="86"/>
        <v>43571.429289999993</v>
      </c>
      <c r="N160" s="266">
        <f t="shared" si="87"/>
        <v>17309.407102339999</v>
      </c>
      <c r="O160" s="266">
        <f t="shared" si="87"/>
        <v>26697.736480560001</v>
      </c>
      <c r="P160" s="266">
        <f t="shared" si="87"/>
        <v>44007.143582900004</v>
      </c>
      <c r="Q160" s="266">
        <f t="shared" si="88"/>
        <v>17482.501173363398</v>
      </c>
      <c r="R160" s="266">
        <f t="shared" si="88"/>
        <v>26964.713845365597</v>
      </c>
      <c r="S160" s="266">
        <f t="shared" si="88"/>
        <v>44447.215018728995</v>
      </c>
      <c r="T160" s="266">
        <f t="shared" si="89"/>
        <v>17657.326185097038</v>
      </c>
      <c r="U160" s="266">
        <f t="shared" si="89"/>
        <v>27234.360983819261</v>
      </c>
      <c r="V160" s="266">
        <f t="shared" si="89"/>
        <v>44891.687168916294</v>
      </c>
      <c r="W160" s="266">
        <f t="shared" si="90"/>
        <v>17833.899446948002</v>
      </c>
      <c r="X160" s="266">
        <f t="shared" si="91"/>
        <v>47181.614380476232</v>
      </c>
      <c r="Y160" s="266">
        <f t="shared" si="92"/>
        <v>27506.704593657443</v>
      </c>
      <c r="Z160" s="267">
        <f t="shared" si="93"/>
        <v>18012.238441417485</v>
      </c>
      <c r="AA160" s="267">
        <f t="shared" si="93"/>
        <v>27781.771639594026</v>
      </c>
      <c r="AB160" s="267">
        <f t="shared" si="93"/>
        <v>45794.010081011511</v>
      </c>
      <c r="AC160" s="266">
        <f t="shared" si="94"/>
        <v>18192.360825831664</v>
      </c>
      <c r="AD160" s="266">
        <f t="shared" si="94"/>
        <v>28059.589355989967</v>
      </c>
      <c r="AE160" s="266">
        <f t="shared" si="94"/>
        <v>46251.95018182163</v>
      </c>
      <c r="AF160" s="266">
        <f t="shared" si="95"/>
        <v>18374.284434089979</v>
      </c>
      <c r="AG160" s="268">
        <f t="shared" si="95"/>
        <v>28340.185249549868</v>
      </c>
      <c r="AH160" s="266">
        <f t="shared" si="95"/>
        <v>46714.469683639851</v>
      </c>
    </row>
    <row r="161" spans="1:45" x14ac:dyDescent="0.25">
      <c r="A161" s="11" t="s">
        <v>600</v>
      </c>
      <c r="B161" s="11">
        <v>14866</v>
      </c>
      <c r="C161" s="11">
        <v>20175</v>
      </c>
      <c r="D161" s="11">
        <v>35041</v>
      </c>
      <c r="E161" s="266">
        <f t="shared" si="84"/>
        <v>15014.66</v>
      </c>
      <c r="F161" s="266">
        <f t="shared" si="84"/>
        <v>20376.75</v>
      </c>
      <c r="G161" s="266">
        <f t="shared" si="84"/>
        <v>35391.410000000003</v>
      </c>
      <c r="H161" s="266">
        <f t="shared" si="85"/>
        <v>15164.8066</v>
      </c>
      <c r="I161" s="266">
        <f t="shared" si="85"/>
        <v>20580.517500000002</v>
      </c>
      <c r="J161" s="266">
        <f t="shared" si="85"/>
        <v>35745.324099999998</v>
      </c>
      <c r="K161" s="266">
        <f t="shared" si="86"/>
        <v>15316.454665999998</v>
      </c>
      <c r="L161" s="266">
        <f t="shared" si="86"/>
        <v>20786.322674999999</v>
      </c>
      <c r="M161" s="266">
        <f t="shared" si="86"/>
        <v>36102.777340999994</v>
      </c>
      <c r="N161" s="266">
        <f t="shared" si="87"/>
        <v>15469.61921266</v>
      </c>
      <c r="O161" s="266">
        <f t="shared" si="87"/>
        <v>20994.185901749999</v>
      </c>
      <c r="P161" s="266">
        <f t="shared" si="87"/>
        <v>36463.805114410003</v>
      </c>
      <c r="Q161" s="266">
        <f t="shared" si="88"/>
        <v>15624.315404786599</v>
      </c>
      <c r="R161" s="266">
        <f t="shared" si="88"/>
        <v>21204.1277607675</v>
      </c>
      <c r="S161" s="266">
        <f t="shared" si="88"/>
        <v>36828.443165554098</v>
      </c>
      <c r="T161" s="266">
        <f t="shared" si="89"/>
        <v>15780.558558834467</v>
      </c>
      <c r="U161" s="266">
        <f t="shared" si="89"/>
        <v>21416.169038375177</v>
      </c>
      <c r="V161" s="266">
        <f t="shared" si="89"/>
        <v>37196.727597209647</v>
      </c>
      <c r="W161" s="266">
        <f t="shared" si="90"/>
        <v>15938.364144422809</v>
      </c>
      <c r="X161" s="266">
        <f t="shared" si="91"/>
        <v>39094.134535499354</v>
      </c>
      <c r="Y161" s="266">
        <f t="shared" si="92"/>
        <v>21630.330728758923</v>
      </c>
      <c r="Z161" s="267">
        <f t="shared" si="93"/>
        <v>16097.747785867041</v>
      </c>
      <c r="AA161" s="267">
        <f t="shared" si="93"/>
        <v>21846.634036046518</v>
      </c>
      <c r="AB161" s="267">
        <f t="shared" si="93"/>
        <v>37944.381821913557</v>
      </c>
      <c r="AC161" s="266">
        <f t="shared" si="94"/>
        <v>16258.725263725712</v>
      </c>
      <c r="AD161" s="266">
        <f t="shared" si="94"/>
        <v>22065.100376406986</v>
      </c>
      <c r="AE161" s="266">
        <f t="shared" si="94"/>
        <v>38323.825640132694</v>
      </c>
      <c r="AF161" s="266">
        <f t="shared" si="95"/>
        <v>16421.31251636297</v>
      </c>
      <c r="AG161" s="268">
        <f t="shared" si="95"/>
        <v>22285.751380171056</v>
      </c>
      <c r="AH161" s="266">
        <f t="shared" si="95"/>
        <v>38707.063896534026</v>
      </c>
    </row>
    <row r="162" spans="1:45" x14ac:dyDescent="0.25">
      <c r="A162" s="11" t="s">
        <v>601</v>
      </c>
      <c r="B162" s="11">
        <v>11734</v>
      </c>
      <c r="C162" s="11">
        <v>15957</v>
      </c>
      <c r="D162" s="11">
        <v>27691</v>
      </c>
      <c r="E162" s="266">
        <f t="shared" si="84"/>
        <v>11851.34</v>
      </c>
      <c r="F162" s="266">
        <f t="shared" si="84"/>
        <v>16116.57</v>
      </c>
      <c r="G162" s="266">
        <f t="shared" si="84"/>
        <v>27967.91</v>
      </c>
      <c r="H162" s="266">
        <f t="shared" si="85"/>
        <v>11969.8534</v>
      </c>
      <c r="I162" s="266">
        <f t="shared" si="85"/>
        <v>16277.735699999999</v>
      </c>
      <c r="J162" s="266">
        <f t="shared" si="85"/>
        <v>28247.589100000001</v>
      </c>
      <c r="K162" s="266">
        <f t="shared" si="86"/>
        <v>12089.551933999999</v>
      </c>
      <c r="L162" s="266">
        <f t="shared" si="86"/>
        <v>16440.513057</v>
      </c>
      <c r="M162" s="266">
        <f t="shared" si="86"/>
        <v>28530.064990999999</v>
      </c>
      <c r="N162" s="266">
        <f t="shared" si="87"/>
        <v>12210.447453340001</v>
      </c>
      <c r="O162" s="266">
        <f t="shared" si="87"/>
        <v>16604.918187570001</v>
      </c>
      <c r="P162" s="266">
        <f t="shared" si="87"/>
        <v>28815.36564091</v>
      </c>
      <c r="Q162" s="266">
        <f t="shared" si="88"/>
        <v>12332.551927873399</v>
      </c>
      <c r="R162" s="266">
        <f t="shared" si="88"/>
        <v>16770.967369445698</v>
      </c>
      <c r="S162" s="266">
        <f t="shared" si="88"/>
        <v>29103.519297319097</v>
      </c>
      <c r="T162" s="266">
        <f t="shared" si="89"/>
        <v>12455.877447152136</v>
      </c>
      <c r="U162" s="266">
        <f t="shared" si="89"/>
        <v>16938.67704314016</v>
      </c>
      <c r="V162" s="266">
        <f t="shared" si="89"/>
        <v>29394.554490292296</v>
      </c>
      <c r="W162" s="266">
        <f t="shared" si="90"/>
        <v>12580.436221623653</v>
      </c>
      <c r="X162" s="266">
        <f t="shared" si="91"/>
        <v>30893.972187509276</v>
      </c>
      <c r="Y162" s="266">
        <f t="shared" si="92"/>
        <v>17108.063813571556</v>
      </c>
      <c r="Z162" s="267">
        <f t="shared" si="93"/>
        <v>12706.240583839894</v>
      </c>
      <c r="AA162" s="267">
        <f t="shared" si="93"/>
        <v>17279.144451707278</v>
      </c>
      <c r="AB162" s="267">
        <f t="shared" si="93"/>
        <v>29985.38503554717</v>
      </c>
      <c r="AC162" s="266">
        <f t="shared" si="94"/>
        <v>12833.302989678294</v>
      </c>
      <c r="AD162" s="266">
        <f t="shared" si="94"/>
        <v>17451.93589622435</v>
      </c>
      <c r="AE162" s="266">
        <f t="shared" si="94"/>
        <v>30285.238885902643</v>
      </c>
      <c r="AF162" s="266">
        <f t="shared" si="95"/>
        <v>12961.636019575077</v>
      </c>
      <c r="AG162" s="268">
        <f t="shared" si="95"/>
        <v>17626.455255186593</v>
      </c>
      <c r="AH162" s="266">
        <f t="shared" si="95"/>
        <v>30588.091274761671</v>
      </c>
    </row>
    <row r="163" spans="1:45" x14ac:dyDescent="0.25">
      <c r="A163" s="11" t="s">
        <v>602</v>
      </c>
      <c r="B163" s="11">
        <v>9516</v>
      </c>
      <c r="C163" s="11">
        <v>12434</v>
      </c>
      <c r="D163" s="11">
        <v>21950</v>
      </c>
      <c r="E163" s="266">
        <f t="shared" si="84"/>
        <v>9611.16</v>
      </c>
      <c r="F163" s="266">
        <f t="shared" si="84"/>
        <v>12558.34</v>
      </c>
      <c r="G163" s="266">
        <f t="shared" si="84"/>
        <v>22169.5</v>
      </c>
      <c r="H163" s="266">
        <f t="shared" si="85"/>
        <v>9707.2716</v>
      </c>
      <c r="I163" s="266">
        <f t="shared" si="85"/>
        <v>12683.9234</v>
      </c>
      <c r="J163" s="266">
        <f t="shared" si="85"/>
        <v>22391.195</v>
      </c>
      <c r="K163" s="266">
        <f t="shared" si="86"/>
        <v>9804.3443159999988</v>
      </c>
      <c r="L163" s="266">
        <f t="shared" si="86"/>
        <v>12810.762633999999</v>
      </c>
      <c r="M163" s="266">
        <f t="shared" si="86"/>
        <v>22615.106949999998</v>
      </c>
      <c r="N163" s="266">
        <f t="shared" si="87"/>
        <v>9902.3877591599994</v>
      </c>
      <c r="O163" s="266">
        <f t="shared" si="87"/>
        <v>12938.87026034</v>
      </c>
      <c r="P163" s="266">
        <f t="shared" si="87"/>
        <v>22841.258019500001</v>
      </c>
      <c r="Q163" s="266">
        <f t="shared" si="88"/>
        <v>10001.4116367516</v>
      </c>
      <c r="R163" s="266">
        <f t="shared" si="88"/>
        <v>13068.258962943399</v>
      </c>
      <c r="S163" s="266">
        <f t="shared" si="88"/>
        <v>23069.670599694997</v>
      </c>
      <c r="T163" s="266">
        <f t="shared" si="89"/>
        <v>10101.425753119118</v>
      </c>
      <c r="U163" s="266">
        <f t="shared" si="89"/>
        <v>13198.941552572836</v>
      </c>
      <c r="V163" s="266">
        <f t="shared" si="89"/>
        <v>23300.367305691954</v>
      </c>
      <c r="W163" s="266">
        <f t="shared" si="90"/>
        <v>10202.440010650305</v>
      </c>
      <c r="X163" s="266">
        <f t="shared" si="91"/>
        <v>24488.920209303695</v>
      </c>
      <c r="Y163" s="266">
        <f t="shared" si="92"/>
        <v>13330.930968098561</v>
      </c>
      <c r="Z163" s="267">
        <f t="shared" si="93"/>
        <v>10304.464410756811</v>
      </c>
      <c r="AA163" s="267">
        <f t="shared" si="93"/>
        <v>13464.240277779549</v>
      </c>
      <c r="AB163" s="267">
        <f t="shared" si="93"/>
        <v>23768.70468853636</v>
      </c>
      <c r="AC163" s="266">
        <f t="shared" si="94"/>
        <v>10407.50905486438</v>
      </c>
      <c r="AD163" s="266">
        <f t="shared" si="94"/>
        <v>13598.882680557346</v>
      </c>
      <c r="AE163" s="266">
        <f t="shared" si="94"/>
        <v>24006.391735421726</v>
      </c>
      <c r="AF163" s="266">
        <f t="shared" si="95"/>
        <v>10511.584145413024</v>
      </c>
      <c r="AG163" s="268">
        <f t="shared" si="95"/>
        <v>13734.871507362919</v>
      </c>
      <c r="AH163" s="266">
        <f t="shared" si="95"/>
        <v>24246.455652775945</v>
      </c>
    </row>
    <row r="164" spans="1:45" x14ac:dyDescent="0.25">
      <c r="A164" s="11" t="s">
        <v>603</v>
      </c>
      <c r="B164" s="11">
        <v>7794</v>
      </c>
      <c r="C164" s="11">
        <v>9388</v>
      </c>
      <c r="D164" s="11">
        <v>17182</v>
      </c>
      <c r="E164" s="266">
        <f t="shared" si="84"/>
        <v>7871.9400000000005</v>
      </c>
      <c r="F164" s="266">
        <f t="shared" si="84"/>
        <v>9481.8799999999992</v>
      </c>
      <c r="G164" s="266">
        <f t="shared" si="84"/>
        <v>17353.82</v>
      </c>
      <c r="H164" s="266">
        <f t="shared" si="85"/>
        <v>7950.6594000000005</v>
      </c>
      <c r="I164" s="266">
        <f t="shared" si="85"/>
        <v>9576.6988000000001</v>
      </c>
      <c r="J164" s="266">
        <f t="shared" si="85"/>
        <v>17527.358199999999</v>
      </c>
      <c r="K164" s="266">
        <f t="shared" si="86"/>
        <v>8030.165993999999</v>
      </c>
      <c r="L164" s="266">
        <f t="shared" si="86"/>
        <v>9672.4657879999995</v>
      </c>
      <c r="M164" s="266">
        <f t="shared" si="86"/>
        <v>17702.631781999997</v>
      </c>
      <c r="N164" s="266">
        <f t="shared" si="87"/>
        <v>8110.4676539399998</v>
      </c>
      <c r="O164" s="266">
        <f>C164*1.01^4</f>
        <v>9769.19044588</v>
      </c>
      <c r="P164" s="266">
        <f t="shared" si="87"/>
        <v>17879.658099820001</v>
      </c>
      <c r="Q164" s="266">
        <f t="shared" si="88"/>
        <v>8191.5723304793992</v>
      </c>
      <c r="R164" s="266">
        <f t="shared" si="88"/>
        <v>9866.8823503387994</v>
      </c>
      <c r="S164" s="266">
        <f t="shared" si="88"/>
        <v>18058.454680818199</v>
      </c>
      <c r="T164" s="266">
        <f t="shared" si="89"/>
        <v>8273.4880537841946</v>
      </c>
      <c r="U164" s="266">
        <f t="shared" si="89"/>
        <v>9965.5511738421901</v>
      </c>
      <c r="V164" s="266">
        <f t="shared" si="89"/>
        <v>18239.039227626385</v>
      </c>
      <c r="W164" s="266">
        <f t="shared" si="90"/>
        <v>8356.2229343220351</v>
      </c>
      <c r="X164" s="266">
        <f t="shared" si="91"/>
        <v>19169.413532403465</v>
      </c>
      <c r="Y164" s="266">
        <f t="shared" si="92"/>
        <v>10065.206685580608</v>
      </c>
      <c r="Z164" s="267">
        <f t="shared" si="93"/>
        <v>8439.7851636652576</v>
      </c>
      <c r="AA164" s="267">
        <f t="shared" si="93"/>
        <v>10165.858752436417</v>
      </c>
      <c r="AB164" s="267">
        <f t="shared" si="93"/>
        <v>18605.643916101675</v>
      </c>
      <c r="AC164" s="266">
        <f t="shared" si="94"/>
        <v>8524.1830153019109</v>
      </c>
      <c r="AD164" s="266">
        <f t="shared" si="94"/>
        <v>10267.517339960783</v>
      </c>
      <c r="AE164" s="266">
        <f t="shared" si="94"/>
        <v>18791.700355262692</v>
      </c>
      <c r="AF164" s="266">
        <f t="shared" si="95"/>
        <v>8609.4248454549306</v>
      </c>
      <c r="AG164" s="268">
        <f t="shared" si="95"/>
        <v>10370.192513360391</v>
      </c>
      <c r="AH164" s="266">
        <f t="shared" si="95"/>
        <v>18979.617358815321</v>
      </c>
    </row>
    <row r="165" spans="1:45" x14ac:dyDescent="0.25">
      <c r="A165" s="11" t="s">
        <v>604</v>
      </c>
      <c r="B165" s="11">
        <v>12207</v>
      </c>
      <c r="C165" s="11">
        <v>16702</v>
      </c>
      <c r="D165" s="11">
        <v>28909</v>
      </c>
      <c r="E165" s="266">
        <f t="shared" si="84"/>
        <v>12329.07</v>
      </c>
      <c r="F165" s="266">
        <f t="shared" si="84"/>
        <v>16869.02</v>
      </c>
      <c r="G165" s="266">
        <f t="shared" si="84"/>
        <v>29198.09</v>
      </c>
      <c r="H165" s="266">
        <f t="shared" si="85"/>
        <v>12452.360699999999</v>
      </c>
      <c r="I165" s="266">
        <f t="shared" si="85"/>
        <v>17037.710200000001</v>
      </c>
      <c r="J165" s="266">
        <f t="shared" si="85"/>
        <v>29490.070899999999</v>
      </c>
      <c r="K165" s="266">
        <f t="shared" si="86"/>
        <v>12576.884306999998</v>
      </c>
      <c r="L165" s="266">
        <f t="shared" si="86"/>
        <v>17208.087302</v>
      </c>
      <c r="M165" s="266">
        <f t="shared" si="86"/>
        <v>29784.971608999997</v>
      </c>
      <c r="N165" s="266">
        <f>B165*1.01^4</f>
        <v>12702.65315007</v>
      </c>
      <c r="O165" s="266">
        <f t="shared" si="87"/>
        <v>17380.16817502</v>
      </c>
      <c r="P165" s="266">
        <f t="shared" si="87"/>
        <v>30082.821325090001</v>
      </c>
      <c r="Q165" s="266">
        <f t="shared" si="88"/>
        <v>12829.679681570698</v>
      </c>
      <c r="R165" s="266">
        <f t="shared" si="88"/>
        <v>17553.9698567702</v>
      </c>
      <c r="S165" s="266">
        <f t="shared" si="88"/>
        <v>30383.649538340898</v>
      </c>
      <c r="T165" s="266">
        <f t="shared" si="89"/>
        <v>12957.976478386408</v>
      </c>
      <c r="U165" s="266">
        <f t="shared" si="89"/>
        <v>17729.509555337903</v>
      </c>
      <c r="V165" s="266">
        <f t="shared" si="89"/>
        <v>30687.486033724312</v>
      </c>
      <c r="W165" s="266">
        <f t="shared" si="90"/>
        <v>13087.556243170269</v>
      </c>
      <c r="X165" s="266">
        <f t="shared" si="91"/>
        <v>32252.856233747632</v>
      </c>
      <c r="Y165" s="266">
        <f t="shared" si="92"/>
        <v>17906.804650891278</v>
      </c>
      <c r="Z165" s="267">
        <f t="shared" si="93"/>
        <v>13218.431805601975</v>
      </c>
      <c r="AA165" s="267">
        <f t="shared" si="93"/>
        <v>18085.872697400195</v>
      </c>
      <c r="AB165" s="267">
        <f t="shared" si="93"/>
        <v>31304.304503002171</v>
      </c>
      <c r="AC165" s="266">
        <f t="shared" si="94"/>
        <v>13350.616123657996</v>
      </c>
      <c r="AD165" s="266">
        <f t="shared" si="94"/>
        <v>18266.7314243742</v>
      </c>
      <c r="AE165" s="266">
        <f t="shared" si="94"/>
        <v>31617.347548032194</v>
      </c>
      <c r="AF165" s="266">
        <f t="shared" si="95"/>
        <v>13484.122284894576</v>
      </c>
      <c r="AG165" s="268">
        <f t="shared" si="95"/>
        <v>18449.398738617943</v>
      </c>
      <c r="AH165" s="266">
        <f t="shared" si="95"/>
        <v>31933.52102351252</v>
      </c>
    </row>
    <row r="166" spans="1:45" x14ac:dyDescent="0.25">
      <c r="A166" s="11" t="s">
        <v>605</v>
      </c>
      <c r="B166" s="11">
        <v>2083</v>
      </c>
      <c r="C166" s="11">
        <v>2539</v>
      </c>
      <c r="D166" s="11">
        <v>4622</v>
      </c>
      <c r="E166" s="266">
        <f t="shared" si="84"/>
        <v>2103.83</v>
      </c>
      <c r="F166" s="266">
        <f t="shared" si="84"/>
        <v>2564.39</v>
      </c>
      <c r="G166" s="266">
        <f t="shared" si="84"/>
        <v>4668.22</v>
      </c>
      <c r="H166" s="266">
        <f t="shared" si="85"/>
        <v>2124.8683000000001</v>
      </c>
      <c r="I166" s="266">
        <f t="shared" si="85"/>
        <v>2590.0338999999999</v>
      </c>
      <c r="J166" s="266">
        <f t="shared" si="85"/>
        <v>4714.9022000000004</v>
      </c>
      <c r="K166" s="266">
        <f t="shared" si="86"/>
        <v>2146.1169829999999</v>
      </c>
      <c r="L166" s="266">
        <f t="shared" si="86"/>
        <v>2615.9342389999997</v>
      </c>
      <c r="M166" s="266">
        <f t="shared" si="86"/>
        <v>4762.0512219999991</v>
      </c>
      <c r="N166" s="266">
        <f t="shared" si="87"/>
        <v>2167.5781528299999</v>
      </c>
      <c r="O166" s="266">
        <f t="shared" si="87"/>
        <v>2642.0935813900001</v>
      </c>
      <c r="P166" s="266">
        <f t="shared" si="87"/>
        <v>4809.67173422</v>
      </c>
      <c r="Q166" s="266">
        <f t="shared" si="88"/>
        <v>2189.2539343582998</v>
      </c>
      <c r="R166" s="266">
        <f t="shared" si="88"/>
        <v>2668.5145172038997</v>
      </c>
      <c r="S166" s="266">
        <f t="shared" si="88"/>
        <v>4857.7684515621995</v>
      </c>
      <c r="T166" s="266">
        <f t="shared" si="89"/>
        <v>2211.1464737018832</v>
      </c>
      <c r="U166" s="266">
        <f t="shared" si="89"/>
        <v>2695.1996623759392</v>
      </c>
      <c r="V166" s="266">
        <f t="shared" si="89"/>
        <v>4906.3461360778228</v>
      </c>
      <c r="W166" s="266">
        <f t="shared" si="90"/>
        <v>2233.2579384389014</v>
      </c>
      <c r="X166" s="266">
        <f t="shared" si="91"/>
        <v>5156.6190982870921</v>
      </c>
      <c r="Y166" s="266">
        <f t="shared" si="92"/>
        <v>2722.1516589996982</v>
      </c>
      <c r="Z166" s="267">
        <f t="shared" si="93"/>
        <v>2255.5905178232911</v>
      </c>
      <c r="AA166" s="267">
        <f t="shared" si="93"/>
        <v>2749.3731755896956</v>
      </c>
      <c r="AB166" s="267">
        <f t="shared" si="93"/>
        <v>5004.9636934129867</v>
      </c>
      <c r="AC166" s="266">
        <f t="shared" si="94"/>
        <v>2278.146423001524</v>
      </c>
      <c r="AD166" s="266">
        <f t="shared" si="94"/>
        <v>2776.8669073455931</v>
      </c>
      <c r="AE166" s="266">
        <f t="shared" si="94"/>
        <v>5055.0133303471166</v>
      </c>
      <c r="AF166" s="266">
        <f t="shared" si="95"/>
        <v>2300.9278872315394</v>
      </c>
      <c r="AG166" s="268">
        <f t="shared" si="95"/>
        <v>2804.6355764190489</v>
      </c>
      <c r="AH166" s="266">
        <f t="shared" si="95"/>
        <v>5105.5634636505883</v>
      </c>
    </row>
    <row r="167" spans="1:45" x14ac:dyDescent="0.25">
      <c r="A167" s="263" t="s">
        <v>2</v>
      </c>
      <c r="B167" s="263">
        <v>776012</v>
      </c>
      <c r="C167" s="263">
        <v>838929</v>
      </c>
      <c r="D167" s="263">
        <v>1614941</v>
      </c>
      <c r="E167" s="270">
        <f t="shared" si="84"/>
        <v>783772.12</v>
      </c>
      <c r="F167" s="270">
        <f t="shared" si="84"/>
        <v>847318.29</v>
      </c>
      <c r="G167" s="270">
        <f t="shared" si="84"/>
        <v>1631090.41</v>
      </c>
      <c r="H167" s="270">
        <f t="shared" si="85"/>
        <v>791609.84120000002</v>
      </c>
      <c r="I167" s="270">
        <f t="shared" si="85"/>
        <v>855791.47290000005</v>
      </c>
      <c r="J167" s="270">
        <f t="shared" si="85"/>
        <v>1647401.3141000001</v>
      </c>
      <c r="K167" s="270">
        <f t="shared" si="86"/>
        <v>799525.9396119999</v>
      </c>
      <c r="L167" s="270">
        <f t="shared" si="86"/>
        <v>864349.38762899989</v>
      </c>
      <c r="M167" s="270">
        <f t="shared" si="86"/>
        <v>1663875.3272409998</v>
      </c>
      <c r="N167" s="270">
        <f t="shared" si="87"/>
        <v>807521.19900811999</v>
      </c>
      <c r="O167" s="270">
        <f t="shared" si="87"/>
        <v>872992.88150529005</v>
      </c>
      <c r="P167" s="270">
        <f t="shared" si="87"/>
        <v>1680514.08051341</v>
      </c>
      <c r="Q167" s="270">
        <f t="shared" si="88"/>
        <v>815596.41099820111</v>
      </c>
      <c r="R167" s="270">
        <f t="shared" si="88"/>
        <v>881722.81032034289</v>
      </c>
      <c r="S167" s="270">
        <f t="shared" si="88"/>
        <v>1697319.2213185439</v>
      </c>
      <c r="T167" s="270">
        <f t="shared" si="89"/>
        <v>823752.37510818336</v>
      </c>
      <c r="U167" s="270">
        <f t="shared" si="89"/>
        <v>890540.03842354647</v>
      </c>
      <c r="V167" s="270">
        <f t="shared" si="89"/>
        <v>1714292.4135317297</v>
      </c>
      <c r="W167" s="270">
        <f t="shared" si="90"/>
        <v>831989.89885926491</v>
      </c>
      <c r="X167" s="270">
        <f t="shared" si="91"/>
        <v>1801738.5554320328</v>
      </c>
      <c r="Y167" s="270">
        <f t="shared" si="92"/>
        <v>899445.43880778167</v>
      </c>
      <c r="Z167" s="271">
        <f t="shared" si="93"/>
        <v>840309.79784785782</v>
      </c>
      <c r="AA167" s="271">
        <f t="shared" si="93"/>
        <v>908439.89319585974</v>
      </c>
      <c r="AB167" s="271">
        <f t="shared" si="93"/>
        <v>1748749.6910437176</v>
      </c>
      <c r="AC167" s="270">
        <f t="shared" si="94"/>
        <v>848712.89582633646</v>
      </c>
      <c r="AD167" s="270">
        <f t="shared" si="94"/>
        <v>917524.29212781833</v>
      </c>
      <c r="AE167" s="270">
        <f t="shared" si="94"/>
        <v>1766237.1879541548</v>
      </c>
      <c r="AF167" s="270">
        <f t="shared" si="95"/>
        <v>857200.02478459978</v>
      </c>
      <c r="AG167" s="272">
        <f t="shared" si="95"/>
        <v>926699.53504909656</v>
      </c>
      <c r="AH167" s="270">
        <f t="shared" si="95"/>
        <v>1783899.5598336963</v>
      </c>
    </row>
    <row r="169" spans="1:45" x14ac:dyDescent="0.25">
      <c r="A169" s="263" t="s">
        <v>615</v>
      </c>
      <c r="B169" s="273"/>
      <c r="C169" s="283">
        <v>2012</v>
      </c>
      <c r="D169" s="275"/>
      <c r="E169" s="351">
        <v>2013</v>
      </c>
      <c r="F169" s="352"/>
      <c r="G169" s="353"/>
      <c r="H169" s="351">
        <v>2014</v>
      </c>
      <c r="I169" s="352"/>
      <c r="J169" s="353"/>
      <c r="K169" s="351">
        <v>2015</v>
      </c>
      <c r="L169" s="352"/>
      <c r="M169" s="353"/>
      <c r="N169" s="351">
        <v>2016</v>
      </c>
      <c r="O169" s="352"/>
      <c r="P169" s="353"/>
      <c r="Q169" s="351">
        <v>2017</v>
      </c>
      <c r="R169" s="352"/>
      <c r="S169" s="353"/>
      <c r="T169" s="351">
        <v>2018</v>
      </c>
      <c r="U169" s="352"/>
      <c r="V169" s="353"/>
      <c r="W169" s="351">
        <v>2019</v>
      </c>
      <c r="X169" s="352"/>
      <c r="Y169" s="353"/>
      <c r="Z169" s="354">
        <v>2020</v>
      </c>
      <c r="AA169" s="355"/>
      <c r="AB169" s="356"/>
      <c r="AC169" s="351">
        <v>2021</v>
      </c>
      <c r="AD169" s="352"/>
      <c r="AE169" s="353"/>
      <c r="AF169" s="351">
        <v>2022</v>
      </c>
      <c r="AG169" s="352"/>
      <c r="AH169" s="353"/>
    </row>
    <row r="170" spans="1:45" x14ac:dyDescent="0.25">
      <c r="A170" s="263" t="s">
        <v>612</v>
      </c>
      <c r="B170" s="264" t="s">
        <v>582</v>
      </c>
      <c r="C170" s="264" t="s">
        <v>583</v>
      </c>
      <c r="D170" s="264" t="s">
        <v>2</v>
      </c>
      <c r="E170" s="264" t="s">
        <v>582</v>
      </c>
      <c r="F170" s="264" t="s">
        <v>583</v>
      </c>
      <c r="G170" s="264" t="s">
        <v>2</v>
      </c>
      <c r="H170" s="264" t="s">
        <v>582</v>
      </c>
      <c r="I170" s="264" t="s">
        <v>583</v>
      </c>
      <c r="J170" s="264" t="s">
        <v>2</v>
      </c>
      <c r="K170" s="264" t="s">
        <v>582</v>
      </c>
      <c r="L170" s="264" t="s">
        <v>583</v>
      </c>
      <c r="M170" s="264" t="s">
        <v>2</v>
      </c>
      <c r="N170" s="264" t="s">
        <v>582</v>
      </c>
      <c r="O170" s="264" t="s">
        <v>583</v>
      </c>
      <c r="P170" s="264" t="s">
        <v>2</v>
      </c>
      <c r="Q170" s="264" t="s">
        <v>582</v>
      </c>
      <c r="R170" s="264" t="s">
        <v>583</v>
      </c>
      <c r="S170" s="264" t="s">
        <v>2</v>
      </c>
      <c r="T170" s="264" t="s">
        <v>582</v>
      </c>
      <c r="U170" s="264" t="s">
        <v>583</v>
      </c>
      <c r="V170" s="264" t="s">
        <v>2</v>
      </c>
      <c r="W170" s="264" t="s">
        <v>582</v>
      </c>
      <c r="X170" s="264" t="s">
        <v>583</v>
      </c>
      <c r="Y170" s="264" t="s">
        <v>2</v>
      </c>
      <c r="Z170" s="265" t="s">
        <v>582</v>
      </c>
      <c r="AA170" s="265" t="s">
        <v>583</v>
      </c>
      <c r="AB170" s="265" t="s">
        <v>2</v>
      </c>
      <c r="AC170" s="264" t="s">
        <v>582</v>
      </c>
      <c r="AD170" s="264" t="s">
        <v>583</v>
      </c>
      <c r="AE170" s="264" t="s">
        <v>2</v>
      </c>
      <c r="AF170" s="264" t="s">
        <v>582</v>
      </c>
      <c r="AG170" s="264" t="s">
        <v>583</v>
      </c>
      <c r="AH170" s="264" t="s">
        <v>2</v>
      </c>
      <c r="AI170" t="s">
        <v>3</v>
      </c>
      <c r="AJ170" t="s">
        <v>4</v>
      </c>
      <c r="AK170" t="s">
        <v>584</v>
      </c>
      <c r="AL170" t="s">
        <v>631</v>
      </c>
      <c r="AM170" t="s">
        <v>632</v>
      </c>
      <c r="AN170" t="s">
        <v>633</v>
      </c>
      <c r="AO170" t="s">
        <v>585</v>
      </c>
      <c r="AP170" t="s">
        <v>586</v>
      </c>
      <c r="AQ170" t="s">
        <v>587</v>
      </c>
      <c r="AS170" t="s">
        <v>588</v>
      </c>
    </row>
    <row r="171" spans="1:45" x14ac:dyDescent="0.25">
      <c r="A171" s="11" t="s">
        <v>589</v>
      </c>
      <c r="B171" s="11">
        <v>117157</v>
      </c>
      <c r="C171" s="11">
        <v>117877</v>
      </c>
      <c r="D171" s="11">
        <v>235034</v>
      </c>
      <c r="E171" s="266">
        <f>B171*1.01</f>
        <v>118328.57</v>
      </c>
      <c r="F171" s="266">
        <f>C171*1.01</f>
        <v>119055.77</v>
      </c>
      <c r="G171" s="266">
        <f>D171*1.01</f>
        <v>237384.34</v>
      </c>
      <c r="H171" s="266">
        <f>B171*1.01^2</f>
        <v>119511.8557</v>
      </c>
      <c r="I171" s="266">
        <f>C171*1.01^2</f>
        <v>120246.32769999999</v>
      </c>
      <c r="J171" s="266">
        <f>D171*1.01^2</f>
        <v>239758.18340000001</v>
      </c>
      <c r="K171" s="266">
        <f>B171*1.01^3</f>
        <v>120706.97425699999</v>
      </c>
      <c r="L171" s="266">
        <f>C171*1.01^3</f>
        <v>121448.79097699998</v>
      </c>
      <c r="M171" s="266">
        <f>D171*1.01^3</f>
        <v>242155.76523399999</v>
      </c>
      <c r="N171" s="266">
        <f>B171*1.01^4</f>
        <v>121914.04399957</v>
      </c>
      <c r="O171" s="266">
        <f>C171*1.01^4</f>
        <v>122663.27888677</v>
      </c>
      <c r="P171" s="266">
        <f>D171*1.01^4</f>
        <v>244577.32288634</v>
      </c>
      <c r="Q171" s="266">
        <f>B171*1.01^5</f>
        <v>123133.1844395657</v>
      </c>
      <c r="R171" s="266">
        <f>C171*1.01^5</f>
        <v>123889.91167563769</v>
      </c>
      <c r="S171" s="266">
        <f>D171*1.01%</f>
        <v>2373.8433999999997</v>
      </c>
      <c r="T171" s="266">
        <f>B171*1.01^6</f>
        <v>124364.51628396138</v>
      </c>
      <c r="U171" s="266">
        <f>C171*1.01^6</f>
        <v>125128.8107923941</v>
      </c>
      <c r="V171" s="266">
        <f>D171*1.01^6</f>
        <v>249493.32707635546</v>
      </c>
      <c r="W171" s="266">
        <f>B171*1.01^7</f>
        <v>125608.16144680095</v>
      </c>
      <c r="X171" s="266">
        <f>C171*1.01^7</f>
        <v>126380.098900318</v>
      </c>
      <c r="Y171" s="266">
        <f>D171*1.01^7</f>
        <v>251988.26034711895</v>
      </c>
      <c r="Z171" s="267">
        <f>B171*1.01^8</f>
        <v>126864.24306126899</v>
      </c>
      <c r="AA171" s="267">
        <f>C171*1.01^8</f>
        <v>127643.89988932121</v>
      </c>
      <c r="AB171" s="267">
        <f>D171*1.01^8</f>
        <v>254508.14295059021</v>
      </c>
      <c r="AC171" s="266">
        <f>B171*1.01^9</f>
        <v>128132.88549188169</v>
      </c>
      <c r="AD171" s="266">
        <f>C171*1.01^9</f>
        <v>128920.33888821444</v>
      </c>
      <c r="AE171" s="266">
        <f>D171*1.01^9</f>
        <v>257053.22438009613</v>
      </c>
      <c r="AF171" s="266">
        <f>B171*1.01^10</f>
        <v>129414.21434680051</v>
      </c>
      <c r="AG171" s="266">
        <f>C171*1.01^10</f>
        <v>130209.54227709658</v>
      </c>
      <c r="AH171" s="266">
        <f>D171*1.01^10</f>
        <v>259623.75662389709</v>
      </c>
      <c r="AI171" s="6">
        <f>Z188/AB188</f>
        <v>0.46512265249917517</v>
      </c>
      <c r="AJ171" s="6">
        <f>AA188/AB188</f>
        <v>0.53487734750082483</v>
      </c>
      <c r="AK171" s="6">
        <f>AB171/AB188</f>
        <v>0.15826246220767765</v>
      </c>
      <c r="AL171" s="6">
        <f>SUM(AB171:AB173)/AB188</f>
        <v>0.45055316512803945</v>
      </c>
      <c r="AM171" s="6">
        <f>SUM(Z171:Z173)/Z188</f>
        <v>0.48451608326613571</v>
      </c>
      <c r="AN171" s="6">
        <f>SUM(AA171:AA173)/AA188</f>
        <v>0.4210194362370821</v>
      </c>
      <c r="AO171" s="6">
        <f>SUM(AB171:AB174)/AB188</f>
        <v>0.55826784908658733</v>
      </c>
      <c r="AP171" s="6">
        <f>SUM(AA174:AA180)/AA188</f>
        <v>0.44066465157910784</v>
      </c>
      <c r="AQ171" s="6">
        <f>SUM(Z174:Z180)/Z188</f>
        <v>0.41078018209219264</v>
      </c>
      <c r="AR171" s="6"/>
      <c r="AS171" s="6">
        <f>SUM(AB184:AB186)/AB188</f>
        <v>4.8753274212337307E-2</v>
      </c>
    </row>
    <row r="172" spans="1:45" x14ac:dyDescent="0.25">
      <c r="A172" s="269" t="s">
        <v>590</v>
      </c>
      <c r="B172" s="11">
        <v>109432</v>
      </c>
      <c r="C172" s="11">
        <v>110517</v>
      </c>
      <c r="D172" s="11">
        <v>219949</v>
      </c>
      <c r="E172" s="266">
        <f t="shared" ref="E172:G188" si="96">B172*1.01</f>
        <v>110526.32</v>
      </c>
      <c r="F172" s="266">
        <f t="shared" si="96"/>
        <v>111622.17</v>
      </c>
      <c r="G172" s="266">
        <f t="shared" si="96"/>
        <v>222148.49</v>
      </c>
      <c r="H172" s="266">
        <f t="shared" ref="H172:J188" si="97">B172*1.01^2</f>
        <v>111631.58319999999</v>
      </c>
      <c r="I172" s="266">
        <f t="shared" si="97"/>
        <v>112738.39170000001</v>
      </c>
      <c r="J172" s="266">
        <f t="shared" si="97"/>
        <v>224369.9749</v>
      </c>
      <c r="K172" s="266">
        <f t="shared" ref="K172:M188" si="98">B172*1.01^3</f>
        <v>112747.89903199999</v>
      </c>
      <c r="L172" s="266">
        <f t="shared" si="98"/>
        <v>113865.77561699999</v>
      </c>
      <c r="M172" s="266">
        <f t="shared" si="98"/>
        <v>226613.67464899999</v>
      </c>
      <c r="N172" s="266">
        <f t="shared" ref="N172:P188" si="99">B172*1.01^4</f>
        <v>113875.37802232</v>
      </c>
      <c r="O172" s="266">
        <f t="shared" si="99"/>
        <v>115004.43337317</v>
      </c>
      <c r="P172" s="266">
        <f t="shared" si="99"/>
        <v>228879.81139549002</v>
      </c>
      <c r="Q172" s="266">
        <f t="shared" ref="Q172:R188" si="100">B172*1.01^5</f>
        <v>115014.1318025432</v>
      </c>
      <c r="R172" s="266">
        <f t="shared" si="100"/>
        <v>116154.47770690169</v>
      </c>
      <c r="S172" s="266">
        <f t="shared" ref="S172:S188" si="101">D172*1.01%</f>
        <v>2221.4848999999999</v>
      </c>
      <c r="T172" s="266">
        <f t="shared" ref="T172:V188" si="102">B172*1.01^6</f>
        <v>116164.27312056864</v>
      </c>
      <c r="U172" s="266">
        <f t="shared" si="102"/>
        <v>117316.02248397074</v>
      </c>
      <c r="V172" s="266">
        <f t="shared" si="102"/>
        <v>233480.29560453937</v>
      </c>
      <c r="W172" s="266">
        <f t="shared" ref="W172:Y188" si="103">B172*1.01^7</f>
        <v>117325.91585177431</v>
      </c>
      <c r="X172" s="266">
        <f t="shared" si="103"/>
        <v>118489.1827088104</v>
      </c>
      <c r="Y172" s="266">
        <f t="shared" si="103"/>
        <v>235815.09856058471</v>
      </c>
      <c r="Z172" s="267">
        <f t="shared" ref="Z172:AB188" si="104">B172*1.01^8</f>
        <v>118499.17501029208</v>
      </c>
      <c r="AA172" s="267">
        <f t="shared" si="104"/>
        <v>119674.07453589854</v>
      </c>
      <c r="AB172" s="267">
        <f t="shared" si="104"/>
        <v>238173.24954619061</v>
      </c>
      <c r="AC172" s="266">
        <f t="shared" ref="AC172:AE188" si="105">B172*1.01^9</f>
        <v>119684.166760395</v>
      </c>
      <c r="AD172" s="266">
        <f t="shared" si="105"/>
        <v>120870.81528125754</v>
      </c>
      <c r="AE172" s="266">
        <f t="shared" si="105"/>
        <v>240554.98204165255</v>
      </c>
      <c r="AF172" s="266">
        <f t="shared" ref="AF172:AH188" si="106">B172*1.01^10</f>
        <v>120881.00842799895</v>
      </c>
      <c r="AG172" s="266">
        <f t="shared" si="106"/>
        <v>122079.52343407011</v>
      </c>
      <c r="AH172" s="266">
        <f t="shared" si="106"/>
        <v>242960.53186206907</v>
      </c>
    </row>
    <row r="173" spans="1:45" x14ac:dyDescent="0.25">
      <c r="A173" s="269" t="s">
        <v>591</v>
      </c>
      <c r="B173" s="11">
        <v>108090</v>
      </c>
      <c r="C173" s="11">
        <v>106039</v>
      </c>
      <c r="D173" s="11">
        <v>214129</v>
      </c>
      <c r="E173" s="266">
        <f t="shared" si="96"/>
        <v>109170.9</v>
      </c>
      <c r="F173" s="266">
        <f t="shared" si="96"/>
        <v>107099.39</v>
      </c>
      <c r="G173" s="266">
        <f t="shared" si="96"/>
        <v>216270.29</v>
      </c>
      <c r="H173" s="266">
        <f t="shared" si="97"/>
        <v>110262.609</v>
      </c>
      <c r="I173" s="266">
        <f t="shared" si="97"/>
        <v>108170.3839</v>
      </c>
      <c r="J173" s="266">
        <f t="shared" si="97"/>
        <v>218432.99290000001</v>
      </c>
      <c r="K173" s="266">
        <f t="shared" si="98"/>
        <v>111365.23508999999</v>
      </c>
      <c r="L173" s="266">
        <f t="shared" si="98"/>
        <v>109252.087739</v>
      </c>
      <c r="M173" s="266">
        <f t="shared" si="98"/>
        <v>220617.32282899998</v>
      </c>
      <c r="N173" s="266">
        <f t="shared" si="99"/>
        <v>112478.8874409</v>
      </c>
      <c r="O173" s="266">
        <f t="shared" si="99"/>
        <v>110344.60861639</v>
      </c>
      <c r="P173" s="266">
        <f t="shared" si="99"/>
        <v>222823.49605729</v>
      </c>
      <c r="Q173" s="266">
        <f t="shared" si="100"/>
        <v>113603.67631530899</v>
      </c>
      <c r="R173" s="266">
        <f t="shared" si="100"/>
        <v>111448.0547025539</v>
      </c>
      <c r="S173" s="266">
        <f t="shared" si="101"/>
        <v>2162.7028999999998</v>
      </c>
      <c r="T173" s="266">
        <f t="shared" si="102"/>
        <v>114739.71307846211</v>
      </c>
      <c r="U173" s="266">
        <f t="shared" si="102"/>
        <v>112562.53524957945</v>
      </c>
      <c r="V173" s="266">
        <f t="shared" si="102"/>
        <v>227302.24832804155</v>
      </c>
      <c r="W173" s="266">
        <f t="shared" si="103"/>
        <v>115887.11020924669</v>
      </c>
      <c r="X173" s="266">
        <f t="shared" si="103"/>
        <v>113688.16060207522</v>
      </c>
      <c r="Y173" s="266">
        <f t="shared" si="103"/>
        <v>229575.27081132191</v>
      </c>
      <c r="Z173" s="267">
        <f t="shared" si="104"/>
        <v>117045.98131133919</v>
      </c>
      <c r="AA173" s="267">
        <f t="shared" si="104"/>
        <v>114825.042208096</v>
      </c>
      <c r="AB173" s="267">
        <f t="shared" si="104"/>
        <v>231871.0235194352</v>
      </c>
      <c r="AC173" s="266">
        <f t="shared" si="105"/>
        <v>118216.4411244526</v>
      </c>
      <c r="AD173" s="266">
        <f t="shared" si="105"/>
        <v>115973.29263017696</v>
      </c>
      <c r="AE173" s="266">
        <f t="shared" si="105"/>
        <v>234189.73375462956</v>
      </c>
      <c r="AF173" s="266">
        <f t="shared" si="106"/>
        <v>119398.60553569712</v>
      </c>
      <c r="AG173" s="266">
        <f t="shared" si="106"/>
        <v>117133.02555647874</v>
      </c>
      <c r="AH173" s="266">
        <f t="shared" si="106"/>
        <v>236531.63109217587</v>
      </c>
    </row>
    <row r="174" spans="1:45" x14ac:dyDescent="0.25">
      <c r="A174" s="11" t="s">
        <v>592</v>
      </c>
      <c r="B174" s="11">
        <v>79740</v>
      </c>
      <c r="C174" s="11">
        <v>80226</v>
      </c>
      <c r="D174" s="11">
        <v>159966</v>
      </c>
      <c r="E174" s="266">
        <f t="shared" si="96"/>
        <v>80537.399999999994</v>
      </c>
      <c r="F174" s="266">
        <f t="shared" si="96"/>
        <v>81028.259999999995</v>
      </c>
      <c r="G174" s="266">
        <f t="shared" si="96"/>
        <v>161565.66</v>
      </c>
      <c r="H174" s="266">
        <f t="shared" si="97"/>
        <v>81342.774000000005</v>
      </c>
      <c r="I174" s="266">
        <f t="shared" si="97"/>
        <v>81838.542600000001</v>
      </c>
      <c r="J174" s="266">
        <f t="shared" si="97"/>
        <v>163181.31659999999</v>
      </c>
      <c r="K174" s="266">
        <f t="shared" si="98"/>
        <v>82156.20173999999</v>
      </c>
      <c r="L174" s="266">
        <f t="shared" si="98"/>
        <v>82656.928025999994</v>
      </c>
      <c r="M174" s="266">
        <f t="shared" si="98"/>
        <v>164813.129766</v>
      </c>
      <c r="N174" s="266">
        <f t="shared" si="99"/>
        <v>82977.763757399996</v>
      </c>
      <c r="O174" s="266">
        <f t="shared" si="99"/>
        <v>83483.497306260004</v>
      </c>
      <c r="P174" s="266">
        <f t="shared" si="99"/>
        <v>166461.26106366</v>
      </c>
      <c r="Q174" s="266">
        <f t="shared" si="100"/>
        <v>83807.541394973989</v>
      </c>
      <c r="R174" s="266">
        <f t="shared" si="100"/>
        <v>84318.332279322596</v>
      </c>
      <c r="S174" s="266">
        <f t="shared" si="101"/>
        <v>1615.6566</v>
      </c>
      <c r="T174" s="266">
        <f t="shared" si="102"/>
        <v>84645.616808923747</v>
      </c>
      <c r="U174" s="266">
        <f t="shared" si="102"/>
        <v>85161.515602115833</v>
      </c>
      <c r="V174" s="266">
        <f t="shared" si="102"/>
        <v>169807.13241103958</v>
      </c>
      <c r="W174" s="266">
        <f t="shared" si="103"/>
        <v>85492.072977012969</v>
      </c>
      <c r="X174" s="266">
        <f t="shared" si="103"/>
        <v>86013.130758136977</v>
      </c>
      <c r="Y174" s="266">
        <f t="shared" si="103"/>
        <v>171505.20373514993</v>
      </c>
      <c r="Z174" s="267">
        <f t="shared" si="104"/>
        <v>86346.99370678312</v>
      </c>
      <c r="AA174" s="267">
        <f t="shared" si="104"/>
        <v>86873.262065718358</v>
      </c>
      <c r="AB174" s="267">
        <f t="shared" si="104"/>
        <v>173220.25577250149</v>
      </c>
      <c r="AC174" s="266">
        <f t="shared" si="105"/>
        <v>87210.463643850948</v>
      </c>
      <c r="AD174" s="266">
        <f t="shared" si="105"/>
        <v>87741.994686375561</v>
      </c>
      <c r="AE174" s="266">
        <f t="shared" si="105"/>
        <v>174952.45833022651</v>
      </c>
      <c r="AF174" s="266">
        <f t="shared" si="106"/>
        <v>88082.568280289473</v>
      </c>
      <c r="AG174" s="266">
        <f t="shared" si="106"/>
        <v>88619.414633239314</v>
      </c>
      <c r="AH174" s="266">
        <f t="shared" si="106"/>
        <v>176701.98291352877</v>
      </c>
    </row>
    <row r="175" spans="1:45" x14ac:dyDescent="0.25">
      <c r="A175" s="11" t="s">
        <v>593</v>
      </c>
      <c r="B175" s="11">
        <v>45939</v>
      </c>
      <c r="C175" s="11">
        <v>65199</v>
      </c>
      <c r="D175" s="11">
        <v>111138</v>
      </c>
      <c r="E175" s="266">
        <f t="shared" si="96"/>
        <v>46398.39</v>
      </c>
      <c r="F175" s="266">
        <f t="shared" si="96"/>
        <v>65850.990000000005</v>
      </c>
      <c r="G175" s="266">
        <f t="shared" si="96"/>
        <v>112249.38</v>
      </c>
      <c r="H175" s="266">
        <f t="shared" si="97"/>
        <v>46862.373899999999</v>
      </c>
      <c r="I175" s="266">
        <f t="shared" si="97"/>
        <v>66509.499899999995</v>
      </c>
      <c r="J175" s="266">
        <f t="shared" si="97"/>
        <v>113371.8738</v>
      </c>
      <c r="K175" s="266">
        <f t="shared" si="98"/>
        <v>47330.997638999994</v>
      </c>
      <c r="L175" s="266">
        <f t="shared" si="98"/>
        <v>67174.594898999989</v>
      </c>
      <c r="M175" s="266">
        <f t="shared" si="98"/>
        <v>114505.592538</v>
      </c>
      <c r="N175" s="266">
        <f t="shared" si="99"/>
        <v>47804.307615390004</v>
      </c>
      <c r="O175" s="266">
        <f t="shared" si="99"/>
        <v>67846.340847989995</v>
      </c>
      <c r="P175" s="266">
        <f t="shared" si="99"/>
        <v>115650.64846338</v>
      </c>
      <c r="Q175" s="266">
        <f t="shared" si="100"/>
        <v>48282.350691543899</v>
      </c>
      <c r="R175" s="266">
        <f t="shared" si="100"/>
        <v>68524.804256469899</v>
      </c>
      <c r="S175" s="266">
        <f t="shared" si="101"/>
        <v>1122.4938</v>
      </c>
      <c r="T175" s="266">
        <f t="shared" si="102"/>
        <v>48765.174198459346</v>
      </c>
      <c r="U175" s="266">
        <f t="shared" si="102"/>
        <v>69210.052299034607</v>
      </c>
      <c r="V175" s="266">
        <f t="shared" si="102"/>
        <v>117975.22649749395</v>
      </c>
      <c r="W175" s="266">
        <f t="shared" si="103"/>
        <v>49252.825940443923</v>
      </c>
      <c r="X175" s="266">
        <f t="shared" si="103"/>
        <v>69902.152822024931</v>
      </c>
      <c r="Y175" s="266">
        <f t="shared" si="103"/>
        <v>119154.97876246886</v>
      </c>
      <c r="Z175" s="267">
        <f t="shared" si="104"/>
        <v>49745.354199848378</v>
      </c>
      <c r="AA175" s="267">
        <f t="shared" si="104"/>
        <v>70601.174350245201</v>
      </c>
      <c r="AB175" s="267">
        <f t="shared" si="104"/>
        <v>120346.52855009359</v>
      </c>
      <c r="AC175" s="266">
        <f t="shared" si="105"/>
        <v>50242.807741846867</v>
      </c>
      <c r="AD175" s="266">
        <f t="shared" si="105"/>
        <v>71307.186093747659</v>
      </c>
      <c r="AE175" s="266">
        <f t="shared" si="105"/>
        <v>121549.99383559452</v>
      </c>
      <c r="AF175" s="266">
        <f t="shared" si="106"/>
        <v>50745.235819265334</v>
      </c>
      <c r="AG175" s="266">
        <f t="shared" si="106"/>
        <v>72020.257954685134</v>
      </c>
      <c r="AH175" s="266">
        <f t="shared" si="106"/>
        <v>122765.49377395047</v>
      </c>
    </row>
    <row r="176" spans="1:45" x14ac:dyDescent="0.25">
      <c r="A176" s="11" t="s">
        <v>594</v>
      </c>
      <c r="B176" s="11">
        <v>42571</v>
      </c>
      <c r="C176" s="11">
        <v>62347</v>
      </c>
      <c r="D176" s="11">
        <v>104918</v>
      </c>
      <c r="E176" s="266">
        <f t="shared" si="96"/>
        <v>42996.71</v>
      </c>
      <c r="F176" s="266">
        <f t="shared" si="96"/>
        <v>62970.47</v>
      </c>
      <c r="G176" s="266">
        <f t="shared" si="96"/>
        <v>105967.18000000001</v>
      </c>
      <c r="H176" s="266">
        <f t="shared" si="97"/>
        <v>43426.677100000001</v>
      </c>
      <c r="I176" s="266">
        <f t="shared" si="97"/>
        <v>63600.174700000003</v>
      </c>
      <c r="J176" s="266">
        <f t="shared" si="97"/>
        <v>107026.8518</v>
      </c>
      <c r="K176" s="266">
        <f t="shared" si="98"/>
        <v>43860.943870999996</v>
      </c>
      <c r="L176" s="266">
        <f t="shared" si="98"/>
        <v>64236.176446999998</v>
      </c>
      <c r="M176" s="266">
        <f t="shared" si="98"/>
        <v>108097.12031799999</v>
      </c>
      <c r="N176" s="266">
        <f t="shared" si="99"/>
        <v>44299.553309709998</v>
      </c>
      <c r="O176" s="266">
        <f t="shared" si="99"/>
        <v>64878.538211470004</v>
      </c>
      <c r="P176" s="266">
        <f t="shared" si="99"/>
        <v>109178.09152118</v>
      </c>
      <c r="Q176" s="266">
        <f t="shared" si="100"/>
        <v>44742.548842807097</v>
      </c>
      <c r="R176" s="266">
        <f t="shared" si="100"/>
        <v>65527.323593584697</v>
      </c>
      <c r="S176" s="266">
        <f t="shared" si="101"/>
        <v>1059.6717999999998</v>
      </c>
      <c r="T176" s="266">
        <f t="shared" si="102"/>
        <v>45189.974331235178</v>
      </c>
      <c r="U176" s="266">
        <f t="shared" si="102"/>
        <v>66182.596829520553</v>
      </c>
      <c r="V176" s="266">
        <f t="shared" si="102"/>
        <v>111372.57116075573</v>
      </c>
      <c r="W176" s="266">
        <f t="shared" si="103"/>
        <v>45641.874074547515</v>
      </c>
      <c r="X176" s="266">
        <f t="shared" si="103"/>
        <v>66844.422797815743</v>
      </c>
      <c r="Y176" s="266">
        <f t="shared" si="103"/>
        <v>112486.29687236325</v>
      </c>
      <c r="Z176" s="267">
        <f t="shared" si="104"/>
        <v>46098.292815293004</v>
      </c>
      <c r="AA176" s="267">
        <f t="shared" si="104"/>
        <v>67512.867025793923</v>
      </c>
      <c r="AB176" s="267">
        <f t="shared" si="104"/>
        <v>113611.15984108692</v>
      </c>
      <c r="AC176" s="266">
        <f t="shared" si="105"/>
        <v>46559.275743445934</v>
      </c>
      <c r="AD176" s="266">
        <f t="shared" si="105"/>
        <v>68187.995696051861</v>
      </c>
      <c r="AE176" s="266">
        <f t="shared" si="105"/>
        <v>114747.2714394978</v>
      </c>
      <c r="AF176" s="266">
        <f t="shared" si="106"/>
        <v>47024.868500880395</v>
      </c>
      <c r="AG176" s="266">
        <f t="shared" si="106"/>
        <v>68869.875653012379</v>
      </c>
      <c r="AH176" s="266">
        <f t="shared" si="106"/>
        <v>115894.74415389278</v>
      </c>
    </row>
    <row r="177" spans="1:45" x14ac:dyDescent="0.25">
      <c r="A177" s="11" t="s">
        <v>595</v>
      </c>
      <c r="B177" s="11">
        <v>40068</v>
      </c>
      <c r="C177" s="11">
        <v>51881</v>
      </c>
      <c r="D177" s="11">
        <v>91949</v>
      </c>
      <c r="E177" s="266">
        <f t="shared" si="96"/>
        <v>40468.68</v>
      </c>
      <c r="F177" s="266">
        <f t="shared" si="96"/>
        <v>52399.81</v>
      </c>
      <c r="G177" s="266">
        <f t="shared" si="96"/>
        <v>92868.49</v>
      </c>
      <c r="H177" s="266">
        <f t="shared" si="97"/>
        <v>40873.366800000003</v>
      </c>
      <c r="I177" s="266">
        <f t="shared" si="97"/>
        <v>52923.808100000002</v>
      </c>
      <c r="J177" s="266">
        <f t="shared" si="97"/>
        <v>93797.174899999998</v>
      </c>
      <c r="K177" s="266">
        <f t="shared" si="98"/>
        <v>41282.100467999997</v>
      </c>
      <c r="L177" s="266">
        <f t="shared" si="98"/>
        <v>53453.046180999998</v>
      </c>
      <c r="M177" s="266">
        <f t="shared" si="98"/>
        <v>94735.146648999988</v>
      </c>
      <c r="N177" s="266">
        <f t="shared" si="99"/>
        <v>41694.921472679998</v>
      </c>
      <c r="O177" s="266">
        <f t="shared" si="99"/>
        <v>53987.576642810003</v>
      </c>
      <c r="P177" s="266">
        <f t="shared" si="99"/>
        <v>95682.498115490002</v>
      </c>
      <c r="Q177" s="266">
        <f t="shared" si="100"/>
        <v>42111.870687406794</v>
      </c>
      <c r="R177" s="266">
        <f t="shared" si="100"/>
        <v>54527.452409238096</v>
      </c>
      <c r="S177" s="266">
        <f t="shared" si="101"/>
        <v>928.68489999999997</v>
      </c>
      <c r="T177" s="266">
        <f t="shared" si="102"/>
        <v>42532.98939428087</v>
      </c>
      <c r="U177" s="266">
        <f t="shared" si="102"/>
        <v>55072.726933330487</v>
      </c>
      <c r="V177" s="266">
        <f t="shared" si="102"/>
        <v>97605.716327611357</v>
      </c>
      <c r="W177" s="266">
        <f t="shared" si="103"/>
        <v>42958.319288223669</v>
      </c>
      <c r="X177" s="266">
        <f t="shared" si="103"/>
        <v>55623.454202663779</v>
      </c>
      <c r="Y177" s="266">
        <f t="shared" si="103"/>
        <v>98581.773490887441</v>
      </c>
      <c r="Z177" s="267">
        <f t="shared" si="104"/>
        <v>43387.902481105921</v>
      </c>
      <c r="AA177" s="267">
        <f t="shared" si="104"/>
        <v>56179.688744690429</v>
      </c>
      <c r="AB177" s="267">
        <f t="shared" si="104"/>
        <v>99567.59122579635</v>
      </c>
      <c r="AC177" s="266">
        <f t="shared" si="105"/>
        <v>43821.781505916981</v>
      </c>
      <c r="AD177" s="266">
        <f t="shared" si="105"/>
        <v>56741.485632137337</v>
      </c>
      <c r="AE177" s="266">
        <f t="shared" si="105"/>
        <v>100563.26713805432</v>
      </c>
      <c r="AF177" s="266">
        <f t="shared" si="106"/>
        <v>44259.999320976152</v>
      </c>
      <c r="AG177" s="266">
        <f t="shared" si="106"/>
        <v>57308.900488458712</v>
      </c>
      <c r="AH177" s="266">
        <f t="shared" si="106"/>
        <v>101568.89980943486</v>
      </c>
    </row>
    <row r="178" spans="1:45" x14ac:dyDescent="0.25">
      <c r="A178" s="11" t="s">
        <v>596</v>
      </c>
      <c r="B178" s="11">
        <v>34912</v>
      </c>
      <c r="C178" s="11">
        <v>42175</v>
      </c>
      <c r="D178" s="11">
        <v>77087</v>
      </c>
      <c r="E178" s="266">
        <f t="shared" si="96"/>
        <v>35261.120000000003</v>
      </c>
      <c r="F178" s="266">
        <f t="shared" si="96"/>
        <v>42596.75</v>
      </c>
      <c r="G178" s="266">
        <f t="shared" si="96"/>
        <v>77857.87</v>
      </c>
      <c r="H178" s="266">
        <f t="shared" si="97"/>
        <v>35613.731200000002</v>
      </c>
      <c r="I178" s="266">
        <f t="shared" si="97"/>
        <v>43022.717499999999</v>
      </c>
      <c r="J178" s="266">
        <f t="shared" si="97"/>
        <v>78636.448699999994</v>
      </c>
      <c r="K178" s="266">
        <f t="shared" si="98"/>
        <v>35969.868511999994</v>
      </c>
      <c r="L178" s="266">
        <f t="shared" si="98"/>
        <v>43452.944674999999</v>
      </c>
      <c r="M178" s="266">
        <f t="shared" si="98"/>
        <v>79422.813186999992</v>
      </c>
      <c r="N178" s="266">
        <f t="shared" si="99"/>
        <v>36329.567197119999</v>
      </c>
      <c r="O178" s="266">
        <f t="shared" si="99"/>
        <v>43887.474121749998</v>
      </c>
      <c r="P178" s="266">
        <f t="shared" si="99"/>
        <v>80217.041318870004</v>
      </c>
      <c r="Q178" s="266">
        <f t="shared" si="100"/>
        <v>36692.862869091201</v>
      </c>
      <c r="R178" s="266">
        <f t="shared" si="100"/>
        <v>44326.348862967498</v>
      </c>
      <c r="S178" s="266">
        <f t="shared" si="101"/>
        <v>778.57870000000003</v>
      </c>
      <c r="T178" s="266">
        <f t="shared" si="102"/>
        <v>37059.79149778212</v>
      </c>
      <c r="U178" s="266">
        <f t="shared" si="102"/>
        <v>44769.612351597178</v>
      </c>
      <c r="V178" s="266">
        <f t="shared" si="102"/>
        <v>81829.40384937929</v>
      </c>
      <c r="W178" s="266">
        <f t="shared" si="103"/>
        <v>37430.389412759927</v>
      </c>
      <c r="X178" s="266">
        <f t="shared" si="103"/>
        <v>45217.308475113139</v>
      </c>
      <c r="Y178" s="266">
        <f t="shared" si="103"/>
        <v>82647.697887873073</v>
      </c>
      <c r="Z178" s="267">
        <f t="shared" si="104"/>
        <v>37804.693306887537</v>
      </c>
      <c r="AA178" s="267">
        <f t="shared" si="104"/>
        <v>45669.481559864282</v>
      </c>
      <c r="AB178" s="267">
        <f t="shared" si="104"/>
        <v>83474.174866751826</v>
      </c>
      <c r="AC178" s="266">
        <f t="shared" si="105"/>
        <v>38182.740239956416</v>
      </c>
      <c r="AD178" s="266">
        <f t="shared" si="105"/>
        <v>46126.176375462928</v>
      </c>
      <c r="AE178" s="266">
        <f t="shared" si="105"/>
        <v>84308.916615419352</v>
      </c>
      <c r="AF178" s="266">
        <f t="shared" si="106"/>
        <v>38564.567642355978</v>
      </c>
      <c r="AG178" s="266">
        <f t="shared" si="106"/>
        <v>46587.438139217564</v>
      </c>
      <c r="AH178" s="266">
        <f t="shared" si="106"/>
        <v>85152.005781573534</v>
      </c>
    </row>
    <row r="179" spans="1:45" x14ac:dyDescent="0.25">
      <c r="A179" s="11" t="s">
        <v>597</v>
      </c>
      <c r="B179" s="11">
        <v>25761</v>
      </c>
      <c r="C179" s="11">
        <v>28221</v>
      </c>
      <c r="D179" s="11">
        <v>53982</v>
      </c>
      <c r="E179" s="266">
        <f t="shared" si="96"/>
        <v>26018.61</v>
      </c>
      <c r="F179" s="266">
        <f t="shared" si="96"/>
        <v>28503.21</v>
      </c>
      <c r="G179" s="266">
        <f t="shared" si="96"/>
        <v>54521.82</v>
      </c>
      <c r="H179" s="266">
        <f t="shared" si="97"/>
        <v>26278.7961</v>
      </c>
      <c r="I179" s="266">
        <f t="shared" si="97"/>
        <v>28788.242099999999</v>
      </c>
      <c r="J179" s="266">
        <f t="shared" si="97"/>
        <v>55067.038200000003</v>
      </c>
      <c r="K179" s="266">
        <f t="shared" si="98"/>
        <v>26541.584060999998</v>
      </c>
      <c r="L179" s="266">
        <f t="shared" si="98"/>
        <v>29076.124520999998</v>
      </c>
      <c r="M179" s="266">
        <f t="shared" si="98"/>
        <v>55617.708581999992</v>
      </c>
      <c r="N179" s="266">
        <f t="shared" si="99"/>
        <v>26806.999901610001</v>
      </c>
      <c r="O179" s="266">
        <f t="shared" si="99"/>
        <v>29366.885766210002</v>
      </c>
      <c r="P179" s="266">
        <f t="shared" si="99"/>
        <v>56173.885667820003</v>
      </c>
      <c r="Q179" s="266">
        <f t="shared" si="100"/>
        <v>27075.069900626098</v>
      </c>
      <c r="R179" s="266">
        <f t="shared" si="100"/>
        <v>29660.554623872096</v>
      </c>
      <c r="S179" s="266">
        <f t="shared" si="101"/>
        <v>545.21820000000002</v>
      </c>
      <c r="T179" s="266">
        <f t="shared" si="102"/>
        <v>27345.820599632363</v>
      </c>
      <c r="U179" s="266">
        <f t="shared" si="102"/>
        <v>29957.160170110827</v>
      </c>
      <c r="V179" s="266">
        <f t="shared" si="102"/>
        <v>57302.98076974319</v>
      </c>
      <c r="W179" s="266">
        <f t="shared" si="103"/>
        <v>27619.278805628681</v>
      </c>
      <c r="X179" s="266">
        <f t="shared" si="103"/>
        <v>30256.731771811923</v>
      </c>
      <c r="Y179" s="266">
        <f t="shared" si="103"/>
        <v>57876.010577440604</v>
      </c>
      <c r="Z179" s="267">
        <f t="shared" si="104"/>
        <v>27895.471593684975</v>
      </c>
      <c r="AA179" s="267">
        <f t="shared" si="104"/>
        <v>30559.299089530054</v>
      </c>
      <c r="AB179" s="267">
        <f t="shared" si="104"/>
        <v>58454.770683215029</v>
      </c>
      <c r="AC179" s="266">
        <f t="shared" si="105"/>
        <v>28174.426309621827</v>
      </c>
      <c r="AD179" s="266">
        <f t="shared" si="105"/>
        <v>30864.892080425354</v>
      </c>
      <c r="AE179" s="266">
        <f t="shared" si="105"/>
        <v>59039.318390047185</v>
      </c>
      <c r="AF179" s="266">
        <f t="shared" si="106"/>
        <v>28456.170572718045</v>
      </c>
      <c r="AG179" s="266">
        <f t="shared" si="106"/>
        <v>31173.541001229609</v>
      </c>
      <c r="AH179" s="266">
        <f t="shared" si="106"/>
        <v>59629.711573947658</v>
      </c>
    </row>
    <row r="180" spans="1:45" x14ac:dyDescent="0.25">
      <c r="A180" s="11" t="s">
        <v>598</v>
      </c>
      <c r="B180" s="11">
        <v>14755</v>
      </c>
      <c r="C180" s="11">
        <v>19989</v>
      </c>
      <c r="D180" s="11">
        <v>34744</v>
      </c>
      <c r="E180" s="266">
        <f t="shared" si="96"/>
        <v>14902.55</v>
      </c>
      <c r="F180" s="266">
        <f t="shared" si="96"/>
        <v>20188.89</v>
      </c>
      <c r="G180" s="266">
        <f t="shared" si="96"/>
        <v>35091.440000000002</v>
      </c>
      <c r="H180" s="266">
        <f t="shared" si="97"/>
        <v>15051.575500000001</v>
      </c>
      <c r="I180" s="266">
        <f t="shared" si="97"/>
        <v>20390.778900000001</v>
      </c>
      <c r="J180" s="266">
        <f t="shared" si="97"/>
        <v>35442.354400000004</v>
      </c>
      <c r="K180" s="266">
        <f t="shared" si="98"/>
        <v>15202.091254999999</v>
      </c>
      <c r="L180" s="266">
        <f t="shared" si="98"/>
        <v>20594.686688999998</v>
      </c>
      <c r="M180" s="266">
        <f t="shared" si="98"/>
        <v>35796.777943999994</v>
      </c>
      <c r="N180" s="266">
        <f t="shared" si="99"/>
        <v>15354.11216755</v>
      </c>
      <c r="O180" s="266">
        <f t="shared" si="99"/>
        <v>20800.633555889999</v>
      </c>
      <c r="P180" s="266">
        <f t="shared" si="99"/>
        <v>36154.745723439999</v>
      </c>
      <c r="Q180" s="266">
        <f t="shared" si="100"/>
        <v>15507.653289225498</v>
      </c>
      <c r="R180" s="266">
        <f t="shared" si="100"/>
        <v>21008.6398914489</v>
      </c>
      <c r="S180" s="266">
        <f t="shared" si="101"/>
        <v>350.9144</v>
      </c>
      <c r="T180" s="266">
        <f t="shared" si="102"/>
        <v>15662.729822117757</v>
      </c>
      <c r="U180" s="266">
        <f t="shared" si="102"/>
        <v>21218.726290363393</v>
      </c>
      <c r="V180" s="266">
        <f t="shared" si="102"/>
        <v>36881.456112481152</v>
      </c>
      <c r="W180" s="266">
        <f t="shared" si="103"/>
        <v>15819.357120338929</v>
      </c>
      <c r="X180" s="266">
        <f t="shared" si="103"/>
        <v>21430.913553267019</v>
      </c>
      <c r="Y180" s="266">
        <f t="shared" si="103"/>
        <v>37250.270673605948</v>
      </c>
      <c r="Z180" s="267">
        <f t="shared" si="104"/>
        <v>15977.550691542323</v>
      </c>
      <c r="AA180" s="267">
        <f t="shared" si="104"/>
        <v>21645.222688799695</v>
      </c>
      <c r="AB180" s="267">
        <f t="shared" si="104"/>
        <v>37622.77338034202</v>
      </c>
      <c r="AC180" s="266">
        <f t="shared" si="105"/>
        <v>16137.326198457748</v>
      </c>
      <c r="AD180" s="266">
        <f t="shared" si="105"/>
        <v>21861.674915687694</v>
      </c>
      <c r="AE180" s="266">
        <f t="shared" si="105"/>
        <v>37999.001114145445</v>
      </c>
      <c r="AF180" s="266">
        <f t="shared" si="106"/>
        <v>16298.699460442325</v>
      </c>
      <c r="AG180" s="266">
        <f t="shared" si="106"/>
        <v>22080.291664844572</v>
      </c>
      <c r="AH180" s="266">
        <f t="shared" si="106"/>
        <v>38378.991125286899</v>
      </c>
    </row>
    <row r="181" spans="1:45" x14ac:dyDescent="0.25">
      <c r="A181" s="11" t="s">
        <v>599</v>
      </c>
      <c r="B181" s="11">
        <v>14280</v>
      </c>
      <c r="C181" s="11">
        <v>26791</v>
      </c>
      <c r="D181" s="11">
        <v>41071</v>
      </c>
      <c r="E181" s="266">
        <f t="shared" si="96"/>
        <v>14422.8</v>
      </c>
      <c r="F181" s="266">
        <f t="shared" si="96"/>
        <v>27058.91</v>
      </c>
      <c r="G181" s="266">
        <f t="shared" si="96"/>
        <v>41481.71</v>
      </c>
      <c r="H181" s="266">
        <f t="shared" si="97"/>
        <v>14567.028</v>
      </c>
      <c r="I181" s="266">
        <f t="shared" si="97"/>
        <v>27329.499100000001</v>
      </c>
      <c r="J181" s="266">
        <f t="shared" si="97"/>
        <v>41896.527099999999</v>
      </c>
      <c r="K181" s="266">
        <f t="shared" si="98"/>
        <v>14712.698279999999</v>
      </c>
      <c r="L181" s="266">
        <f t="shared" si="98"/>
        <v>27602.794090999996</v>
      </c>
      <c r="M181" s="266">
        <f t="shared" si="98"/>
        <v>42315.492370999993</v>
      </c>
      <c r="N181" s="266">
        <f t="shared" si="99"/>
        <v>14859.825262800001</v>
      </c>
      <c r="O181" s="266">
        <f t="shared" si="99"/>
        <v>27878.82203191</v>
      </c>
      <c r="P181" s="266">
        <f t="shared" si="99"/>
        <v>42738.647294709997</v>
      </c>
      <c r="Q181" s="266">
        <f t="shared" si="100"/>
        <v>15008.423515428</v>
      </c>
      <c r="R181" s="266">
        <f t="shared" si="100"/>
        <v>28157.610252229097</v>
      </c>
      <c r="S181" s="266">
        <f t="shared" si="101"/>
        <v>414.81709999999998</v>
      </c>
      <c r="T181" s="266">
        <f t="shared" si="102"/>
        <v>15158.507750582283</v>
      </c>
      <c r="U181" s="266">
        <f t="shared" si="102"/>
        <v>28439.186354751393</v>
      </c>
      <c r="V181" s="266">
        <f t="shared" si="102"/>
        <v>43597.694105333678</v>
      </c>
      <c r="W181" s="266">
        <f t="shared" si="103"/>
        <v>15310.0928280881</v>
      </c>
      <c r="X181" s="266">
        <f t="shared" si="103"/>
        <v>28723.578218298899</v>
      </c>
      <c r="Y181" s="266">
        <f t="shared" si="103"/>
        <v>44033.671046387004</v>
      </c>
      <c r="Z181" s="267">
        <f t="shared" si="104"/>
        <v>15463.193756368986</v>
      </c>
      <c r="AA181" s="267">
        <f t="shared" si="104"/>
        <v>29010.814000481896</v>
      </c>
      <c r="AB181" s="267">
        <f t="shared" si="104"/>
        <v>44474.007756850886</v>
      </c>
      <c r="AC181" s="266">
        <f t="shared" si="105"/>
        <v>15617.825693932677</v>
      </c>
      <c r="AD181" s="266">
        <f t="shared" si="105"/>
        <v>29300.922140486717</v>
      </c>
      <c r="AE181" s="266">
        <f t="shared" si="105"/>
        <v>44918.747834419395</v>
      </c>
      <c r="AF181" s="266">
        <f t="shared" si="106"/>
        <v>15774.003950872004</v>
      </c>
      <c r="AG181" s="266">
        <f t="shared" si="106"/>
        <v>29593.931361891588</v>
      </c>
      <c r="AH181" s="266">
        <f t="shared" si="106"/>
        <v>45367.935312763591</v>
      </c>
    </row>
    <row r="182" spans="1:45" x14ac:dyDescent="0.25">
      <c r="A182" s="11" t="s">
        <v>600</v>
      </c>
      <c r="B182" s="11">
        <v>14218</v>
      </c>
      <c r="C182" s="11">
        <v>21158</v>
      </c>
      <c r="D182" s="11">
        <v>35376</v>
      </c>
      <c r="E182" s="266">
        <f t="shared" si="96"/>
        <v>14360.18</v>
      </c>
      <c r="F182" s="266">
        <f t="shared" si="96"/>
        <v>21369.58</v>
      </c>
      <c r="G182" s="266">
        <f t="shared" si="96"/>
        <v>35729.760000000002</v>
      </c>
      <c r="H182" s="266">
        <f t="shared" si="97"/>
        <v>14503.781800000001</v>
      </c>
      <c r="I182" s="266">
        <f t="shared" si="97"/>
        <v>21583.275799999999</v>
      </c>
      <c r="J182" s="266">
        <f t="shared" si="97"/>
        <v>36087.0576</v>
      </c>
      <c r="K182" s="266">
        <f t="shared" si="98"/>
        <v>14648.819618</v>
      </c>
      <c r="L182" s="266">
        <f t="shared" si="98"/>
        <v>21799.108558</v>
      </c>
      <c r="M182" s="266">
        <f t="shared" si="98"/>
        <v>36447.928175999994</v>
      </c>
      <c r="N182" s="266">
        <f t="shared" si="99"/>
        <v>14795.30781418</v>
      </c>
      <c r="O182" s="266">
        <f t="shared" si="99"/>
        <v>22017.099643580001</v>
      </c>
      <c r="P182" s="266">
        <f t="shared" si="99"/>
        <v>36812.407457760004</v>
      </c>
      <c r="Q182" s="266">
        <f t="shared" si="100"/>
        <v>14943.260892321799</v>
      </c>
      <c r="R182" s="266">
        <f t="shared" si="100"/>
        <v>22237.270640015799</v>
      </c>
      <c r="S182" s="266">
        <f t="shared" si="101"/>
        <v>357.29759999999999</v>
      </c>
      <c r="T182" s="266">
        <f t="shared" si="102"/>
        <v>15092.693501245019</v>
      </c>
      <c r="U182" s="266">
        <f t="shared" si="102"/>
        <v>22459.64334641596</v>
      </c>
      <c r="V182" s="266">
        <f t="shared" si="102"/>
        <v>37552.336847660983</v>
      </c>
      <c r="W182" s="266">
        <f t="shared" si="103"/>
        <v>15243.620436257466</v>
      </c>
      <c r="X182" s="266">
        <f t="shared" si="103"/>
        <v>22684.239779880114</v>
      </c>
      <c r="Y182" s="266">
        <f t="shared" si="103"/>
        <v>37927.860216137582</v>
      </c>
      <c r="Z182" s="267">
        <f t="shared" si="104"/>
        <v>15396.056640620045</v>
      </c>
      <c r="AA182" s="267">
        <f t="shared" si="104"/>
        <v>22911.08217767892</v>
      </c>
      <c r="AB182" s="267">
        <f t="shared" si="104"/>
        <v>38307.138818298969</v>
      </c>
      <c r="AC182" s="266">
        <f t="shared" si="105"/>
        <v>15550.017207026247</v>
      </c>
      <c r="AD182" s="266">
        <f t="shared" si="105"/>
        <v>23140.192999455714</v>
      </c>
      <c r="AE182" s="266">
        <f t="shared" si="105"/>
        <v>38690.210206481956</v>
      </c>
      <c r="AF182" s="266">
        <f t="shared" si="106"/>
        <v>15705.517379096509</v>
      </c>
      <c r="AG182" s="266">
        <f t="shared" si="106"/>
        <v>23371.594929450272</v>
      </c>
      <c r="AH182" s="266">
        <f t="shared" si="106"/>
        <v>39077.112308546777</v>
      </c>
    </row>
    <row r="183" spans="1:45" x14ac:dyDescent="0.25">
      <c r="A183" s="11" t="s">
        <v>601</v>
      </c>
      <c r="B183" s="11">
        <v>11616</v>
      </c>
      <c r="C183" s="11">
        <v>17201</v>
      </c>
      <c r="D183" s="11">
        <v>28817</v>
      </c>
      <c r="E183" s="266">
        <f t="shared" si="96"/>
        <v>11732.16</v>
      </c>
      <c r="F183" s="266">
        <f t="shared" si="96"/>
        <v>17373.009999999998</v>
      </c>
      <c r="G183" s="266">
        <f t="shared" si="96"/>
        <v>29105.170000000002</v>
      </c>
      <c r="H183" s="266">
        <f t="shared" si="97"/>
        <v>11849.481600000001</v>
      </c>
      <c r="I183" s="266">
        <f t="shared" si="97"/>
        <v>17546.740099999999</v>
      </c>
      <c r="J183" s="266">
        <f t="shared" si="97"/>
        <v>29396.221700000002</v>
      </c>
      <c r="K183" s="266">
        <f t="shared" si="98"/>
        <v>11967.976416</v>
      </c>
      <c r="L183" s="266">
        <f t="shared" si="98"/>
        <v>17722.207500999997</v>
      </c>
      <c r="M183" s="266">
        <f t="shared" si="98"/>
        <v>29690.183916999998</v>
      </c>
      <c r="N183" s="266">
        <f t="shared" si="99"/>
        <v>12087.65618016</v>
      </c>
      <c r="O183" s="266">
        <f t="shared" si="99"/>
        <v>17899.429576009999</v>
      </c>
      <c r="P183" s="266">
        <f t="shared" si="99"/>
        <v>29987.08575617</v>
      </c>
      <c r="Q183" s="266">
        <f t="shared" si="100"/>
        <v>12208.532741961599</v>
      </c>
      <c r="R183" s="266">
        <f t="shared" si="100"/>
        <v>18078.423871770097</v>
      </c>
      <c r="S183" s="266">
        <f t="shared" si="101"/>
        <v>291.05169999999998</v>
      </c>
      <c r="T183" s="266">
        <f t="shared" si="102"/>
        <v>12330.618069381218</v>
      </c>
      <c r="U183" s="266">
        <f t="shared" si="102"/>
        <v>18259.208110487802</v>
      </c>
      <c r="V183" s="266">
        <f t="shared" si="102"/>
        <v>30589.826179869022</v>
      </c>
      <c r="W183" s="266">
        <f t="shared" si="103"/>
        <v>12453.924250075026</v>
      </c>
      <c r="X183" s="266">
        <f t="shared" si="103"/>
        <v>18441.800191592676</v>
      </c>
      <c r="Y183" s="266">
        <f t="shared" si="103"/>
        <v>30895.724441667702</v>
      </c>
      <c r="Z183" s="267">
        <f t="shared" si="104"/>
        <v>12578.46349257578</v>
      </c>
      <c r="AA183" s="267">
        <f t="shared" si="104"/>
        <v>18626.218193508608</v>
      </c>
      <c r="AB183" s="267">
        <f t="shared" si="104"/>
        <v>31204.681686084386</v>
      </c>
      <c r="AC183" s="266">
        <f t="shared" si="105"/>
        <v>12704.248127501538</v>
      </c>
      <c r="AD183" s="266">
        <f t="shared" si="105"/>
        <v>18812.480375443694</v>
      </c>
      <c r="AE183" s="266">
        <f t="shared" si="105"/>
        <v>31516.728502945232</v>
      </c>
      <c r="AF183" s="266">
        <f t="shared" si="106"/>
        <v>12831.290608776555</v>
      </c>
      <c r="AG183" s="266">
        <f t="shared" si="106"/>
        <v>19000.605179198134</v>
      </c>
      <c r="AH183" s="266">
        <f t="shared" si="106"/>
        <v>31831.895787974689</v>
      </c>
    </row>
    <row r="184" spans="1:45" x14ac:dyDescent="0.25">
      <c r="A184" s="11" t="s">
        <v>602</v>
      </c>
      <c r="B184" s="11">
        <v>9410</v>
      </c>
      <c r="C184" s="11">
        <v>12556</v>
      </c>
      <c r="D184" s="11">
        <v>21966</v>
      </c>
      <c r="E184" s="266">
        <f t="shared" si="96"/>
        <v>9504.1</v>
      </c>
      <c r="F184" s="266">
        <f t="shared" si="96"/>
        <v>12681.56</v>
      </c>
      <c r="G184" s="266">
        <f t="shared" si="96"/>
        <v>22185.66</v>
      </c>
      <c r="H184" s="266">
        <f t="shared" si="97"/>
        <v>9599.1409999999996</v>
      </c>
      <c r="I184" s="266">
        <f t="shared" si="97"/>
        <v>12808.375599999999</v>
      </c>
      <c r="J184" s="266">
        <f t="shared" si="97"/>
        <v>22407.516599999999</v>
      </c>
      <c r="K184" s="266">
        <f t="shared" si="98"/>
        <v>9695.1324099999983</v>
      </c>
      <c r="L184" s="266">
        <f t="shared" si="98"/>
        <v>12936.459355999999</v>
      </c>
      <c r="M184" s="266">
        <f t="shared" si="98"/>
        <v>22631.591765999998</v>
      </c>
      <c r="N184" s="266">
        <f t="shared" si="99"/>
        <v>9792.0837341000006</v>
      </c>
      <c r="O184" s="266">
        <f t="shared" si="99"/>
        <v>13065.823949560001</v>
      </c>
      <c r="P184" s="266">
        <f t="shared" si="99"/>
        <v>22857.90768366</v>
      </c>
      <c r="Q184" s="266">
        <f t="shared" si="100"/>
        <v>9890.0045714409989</v>
      </c>
      <c r="R184" s="266">
        <f t="shared" si="100"/>
        <v>13196.4821890556</v>
      </c>
      <c r="S184" s="266">
        <f t="shared" si="101"/>
        <v>221.85659999999999</v>
      </c>
      <c r="T184" s="266">
        <f t="shared" si="102"/>
        <v>9988.904617155411</v>
      </c>
      <c r="U184" s="266">
        <f t="shared" si="102"/>
        <v>13328.447010946158</v>
      </c>
      <c r="V184" s="266">
        <f t="shared" si="102"/>
        <v>23317.351628101569</v>
      </c>
      <c r="W184" s="266">
        <f t="shared" si="103"/>
        <v>10088.793663326962</v>
      </c>
      <c r="X184" s="266">
        <f t="shared" si="103"/>
        <v>13461.731481055616</v>
      </c>
      <c r="Y184" s="266">
        <f t="shared" si="103"/>
        <v>23550.525144382576</v>
      </c>
      <c r="Z184" s="267">
        <f t="shared" si="104"/>
        <v>10189.681599960235</v>
      </c>
      <c r="AA184" s="267">
        <f t="shared" si="104"/>
        <v>13596.348795866175</v>
      </c>
      <c r="AB184" s="267">
        <f t="shared" si="104"/>
        <v>23786.030395826412</v>
      </c>
      <c r="AC184" s="266">
        <f t="shared" si="105"/>
        <v>10291.578415959839</v>
      </c>
      <c r="AD184" s="266">
        <f t="shared" si="105"/>
        <v>13732.312283824838</v>
      </c>
      <c r="AE184" s="266">
        <f t="shared" si="105"/>
        <v>24023.890699784675</v>
      </c>
      <c r="AF184" s="266">
        <f t="shared" si="106"/>
        <v>10394.494200119436</v>
      </c>
      <c r="AG184" s="266">
        <f t="shared" si="106"/>
        <v>13869.635406663087</v>
      </c>
      <c r="AH184" s="266">
        <f t="shared" si="106"/>
        <v>24264.129606782524</v>
      </c>
    </row>
    <row r="185" spans="1:45" x14ac:dyDescent="0.25">
      <c r="A185" s="11" t="s">
        <v>603</v>
      </c>
      <c r="B185" s="11">
        <v>8031</v>
      </c>
      <c r="C185" s="11">
        <v>10123</v>
      </c>
      <c r="D185" s="11">
        <v>18154</v>
      </c>
      <c r="E185" s="266">
        <f t="shared" si="96"/>
        <v>8111.31</v>
      </c>
      <c r="F185" s="266">
        <f t="shared" si="96"/>
        <v>10224.23</v>
      </c>
      <c r="G185" s="266">
        <f t="shared" si="96"/>
        <v>18335.54</v>
      </c>
      <c r="H185" s="266">
        <f t="shared" si="97"/>
        <v>8192.4231</v>
      </c>
      <c r="I185" s="266">
        <f t="shared" si="97"/>
        <v>10326.472299999999</v>
      </c>
      <c r="J185" s="266">
        <f t="shared" si="97"/>
        <v>18518.895400000001</v>
      </c>
      <c r="K185" s="266">
        <f t="shared" si="98"/>
        <v>8274.347330999999</v>
      </c>
      <c r="L185" s="266">
        <f t="shared" si="98"/>
        <v>10429.737023</v>
      </c>
      <c r="M185" s="266">
        <f t="shared" si="98"/>
        <v>18704.084353999999</v>
      </c>
      <c r="N185" s="266">
        <f t="shared" si="99"/>
        <v>8357.0908043100007</v>
      </c>
      <c r="O185" s="266">
        <f t="shared" si="99"/>
        <v>10534.03439323</v>
      </c>
      <c r="P185" s="266">
        <f t="shared" si="99"/>
        <v>18891.125197540001</v>
      </c>
      <c r="Q185" s="266">
        <f t="shared" si="100"/>
        <v>8440.6617123530996</v>
      </c>
      <c r="R185" s="266">
        <f t="shared" si="100"/>
        <v>10639.374737162299</v>
      </c>
      <c r="S185" s="266">
        <f t="shared" si="101"/>
        <v>183.3554</v>
      </c>
      <c r="T185" s="266">
        <f t="shared" si="102"/>
        <v>8525.0683294766313</v>
      </c>
      <c r="U185" s="266">
        <f t="shared" si="102"/>
        <v>10745.768484533924</v>
      </c>
      <c r="V185" s="266">
        <f t="shared" si="102"/>
        <v>19270.836814010556</v>
      </c>
      <c r="W185" s="266">
        <f t="shared" si="103"/>
        <v>8610.3190127713951</v>
      </c>
      <c r="X185" s="266">
        <f t="shared" si="103"/>
        <v>10853.226169379261</v>
      </c>
      <c r="Y185" s="266">
        <f t="shared" si="103"/>
        <v>19463.545182150658</v>
      </c>
      <c r="Z185" s="267">
        <f t="shared" si="104"/>
        <v>8696.4222028991117</v>
      </c>
      <c r="AA185" s="267">
        <f t="shared" si="104"/>
        <v>10961.758431073056</v>
      </c>
      <c r="AB185" s="267">
        <f t="shared" si="104"/>
        <v>19658.18063397217</v>
      </c>
      <c r="AC185" s="266">
        <f t="shared" si="105"/>
        <v>8783.3864249281032</v>
      </c>
      <c r="AD185" s="266">
        <f t="shared" si="105"/>
        <v>11071.376015383788</v>
      </c>
      <c r="AE185" s="266">
        <f t="shared" si="105"/>
        <v>19854.76244031189</v>
      </c>
      <c r="AF185" s="266">
        <f t="shared" si="106"/>
        <v>8871.220289177385</v>
      </c>
      <c r="AG185" s="266">
        <f t="shared" si="106"/>
        <v>11182.089775537626</v>
      </c>
      <c r="AH185" s="266">
        <f t="shared" si="106"/>
        <v>20053.31006471501</v>
      </c>
    </row>
    <row r="186" spans="1:45" x14ac:dyDescent="0.25">
      <c r="A186" s="11" t="s">
        <v>604</v>
      </c>
      <c r="B186" s="11">
        <v>12921</v>
      </c>
      <c r="C186" s="11">
        <v>19362</v>
      </c>
      <c r="D186" s="11">
        <v>32283</v>
      </c>
      <c r="E186" s="266">
        <f t="shared" si="96"/>
        <v>13050.210000000001</v>
      </c>
      <c r="F186" s="266">
        <f t="shared" si="96"/>
        <v>19555.62</v>
      </c>
      <c r="G186" s="266">
        <f t="shared" si="96"/>
        <v>32605.83</v>
      </c>
      <c r="H186" s="266">
        <f t="shared" si="97"/>
        <v>13180.712100000001</v>
      </c>
      <c r="I186" s="266">
        <f t="shared" si="97"/>
        <v>19751.176200000002</v>
      </c>
      <c r="J186" s="266">
        <f t="shared" si="97"/>
        <v>32931.888299999999</v>
      </c>
      <c r="K186" s="266">
        <f t="shared" si="98"/>
        <v>13312.519220999999</v>
      </c>
      <c r="L186" s="266">
        <f t="shared" si="98"/>
        <v>19948.687962</v>
      </c>
      <c r="M186" s="266">
        <f t="shared" si="98"/>
        <v>33261.207182999999</v>
      </c>
      <c r="N186" s="266">
        <f t="shared" si="99"/>
        <v>13445.64441321</v>
      </c>
      <c r="O186" s="266">
        <f t="shared" si="99"/>
        <v>20148.174841619999</v>
      </c>
      <c r="P186" s="266">
        <f t="shared" si="99"/>
        <v>33593.819254829999</v>
      </c>
      <c r="Q186" s="266">
        <f t="shared" si="100"/>
        <v>13580.100857342099</v>
      </c>
      <c r="R186" s="266">
        <f t="shared" si="100"/>
        <v>20349.6565900362</v>
      </c>
      <c r="S186" s="266">
        <f t="shared" si="101"/>
        <v>326.05829999999997</v>
      </c>
      <c r="T186" s="266">
        <f t="shared" si="102"/>
        <v>13715.901865915523</v>
      </c>
      <c r="U186" s="266">
        <f t="shared" si="102"/>
        <v>20553.153155936565</v>
      </c>
      <c r="V186" s="266">
        <f t="shared" si="102"/>
        <v>34269.055021852088</v>
      </c>
      <c r="W186" s="266">
        <f t="shared" si="103"/>
        <v>13853.060884574674</v>
      </c>
      <c r="X186" s="266">
        <f t="shared" si="103"/>
        <v>20758.684687495923</v>
      </c>
      <c r="Y186" s="266">
        <f t="shared" si="103"/>
        <v>34611.745572070598</v>
      </c>
      <c r="Z186" s="267">
        <f t="shared" si="104"/>
        <v>13991.591493420425</v>
      </c>
      <c r="AA186" s="267">
        <f t="shared" si="104"/>
        <v>20966.271534370888</v>
      </c>
      <c r="AB186" s="267">
        <f t="shared" si="104"/>
        <v>34957.863027791311</v>
      </c>
      <c r="AC186" s="266">
        <f t="shared" si="105"/>
        <v>14131.50740835463</v>
      </c>
      <c r="AD186" s="266">
        <f t="shared" si="105"/>
        <v>21175.934249714599</v>
      </c>
      <c r="AE186" s="266">
        <f t="shared" si="105"/>
        <v>35307.441658069227</v>
      </c>
      <c r="AF186" s="266">
        <f t="shared" si="106"/>
        <v>14272.822482438176</v>
      </c>
      <c r="AG186" s="266">
        <f t="shared" si="106"/>
        <v>21387.693592211745</v>
      </c>
      <c r="AH186" s="266">
        <f t="shared" si="106"/>
        <v>35660.516074649924</v>
      </c>
    </row>
    <row r="187" spans="1:45" x14ac:dyDescent="0.25">
      <c r="A187" s="11" t="s">
        <v>605</v>
      </c>
      <c r="B187" s="11">
        <v>1848</v>
      </c>
      <c r="C187" s="11">
        <v>2679</v>
      </c>
      <c r="D187" s="11">
        <v>4527</v>
      </c>
      <c r="E187" s="266">
        <f t="shared" si="96"/>
        <v>1866.48</v>
      </c>
      <c r="F187" s="266">
        <f t="shared" si="96"/>
        <v>2705.79</v>
      </c>
      <c r="G187" s="266">
        <f t="shared" si="96"/>
        <v>4572.2700000000004</v>
      </c>
      <c r="H187" s="266">
        <f t="shared" si="97"/>
        <v>1885.1448</v>
      </c>
      <c r="I187" s="266">
        <f t="shared" si="97"/>
        <v>2732.8479000000002</v>
      </c>
      <c r="J187" s="266">
        <f t="shared" si="97"/>
        <v>4617.9926999999998</v>
      </c>
      <c r="K187" s="266">
        <f t="shared" si="98"/>
        <v>1903.9962479999999</v>
      </c>
      <c r="L187" s="266">
        <f t="shared" si="98"/>
        <v>2760.1763789999995</v>
      </c>
      <c r="M187" s="266">
        <f t="shared" si="98"/>
        <v>4664.1726269999999</v>
      </c>
      <c r="N187" s="266">
        <f t="shared" si="99"/>
        <v>1923.0362104800001</v>
      </c>
      <c r="O187" s="266">
        <f t="shared" si="99"/>
        <v>2787.7781427899999</v>
      </c>
      <c r="P187" s="266">
        <f t="shared" si="99"/>
        <v>4710.8143532700005</v>
      </c>
      <c r="Q187" s="266">
        <f t="shared" si="100"/>
        <v>1942.2665725847999</v>
      </c>
      <c r="R187" s="266">
        <f t="shared" si="100"/>
        <v>2815.6559242178996</v>
      </c>
      <c r="S187" s="266">
        <f t="shared" si="101"/>
        <v>45.722699999999996</v>
      </c>
      <c r="T187" s="266">
        <f t="shared" si="102"/>
        <v>1961.6892383106483</v>
      </c>
      <c r="U187" s="266">
        <f t="shared" si="102"/>
        <v>2843.8124834600794</v>
      </c>
      <c r="V187" s="266">
        <f t="shared" si="102"/>
        <v>4805.5017217707273</v>
      </c>
      <c r="W187" s="266">
        <f t="shared" si="103"/>
        <v>1981.3061306937541</v>
      </c>
      <c r="X187" s="266">
        <f t="shared" si="103"/>
        <v>2872.2506082946793</v>
      </c>
      <c r="Y187" s="266">
        <f t="shared" si="103"/>
        <v>4853.5567389884336</v>
      </c>
      <c r="Z187" s="267">
        <f t="shared" si="104"/>
        <v>2001.1191920006922</v>
      </c>
      <c r="AA187" s="267">
        <f t="shared" si="104"/>
        <v>2900.9731143776271</v>
      </c>
      <c r="AB187" s="267">
        <f t="shared" si="104"/>
        <v>4902.0923063783193</v>
      </c>
      <c r="AC187" s="266">
        <f t="shared" si="105"/>
        <v>2021.1303839206994</v>
      </c>
      <c r="AD187" s="266">
        <f t="shared" si="105"/>
        <v>2929.9828455214033</v>
      </c>
      <c r="AE187" s="266">
        <f t="shared" si="105"/>
        <v>4951.1132294421031</v>
      </c>
      <c r="AF187" s="266">
        <f t="shared" si="106"/>
        <v>2041.3416877599063</v>
      </c>
      <c r="AG187" s="266">
        <f t="shared" si="106"/>
        <v>2959.2826739766174</v>
      </c>
      <c r="AH187" s="266">
        <f t="shared" si="106"/>
        <v>5000.6243617365235</v>
      </c>
    </row>
    <row r="188" spans="1:45" x14ac:dyDescent="0.25">
      <c r="A188" s="263" t="s">
        <v>2</v>
      </c>
      <c r="B188" s="263">
        <v>690749</v>
      </c>
      <c r="C188" s="263">
        <v>794341</v>
      </c>
      <c r="D188" s="263">
        <v>1485090</v>
      </c>
      <c r="E188" s="270">
        <f t="shared" si="96"/>
        <v>697656.49</v>
      </c>
      <c r="F188" s="270">
        <f t="shared" si="96"/>
        <v>802284.41</v>
      </c>
      <c r="G188" s="270">
        <f t="shared" si="96"/>
        <v>1499940.9</v>
      </c>
      <c r="H188" s="270">
        <f t="shared" si="97"/>
        <v>704633.05489999999</v>
      </c>
      <c r="I188" s="270">
        <f t="shared" si="97"/>
        <v>810307.25410000002</v>
      </c>
      <c r="J188" s="270">
        <f t="shared" si="97"/>
        <v>1514940.3090000001</v>
      </c>
      <c r="K188" s="270">
        <f t="shared" si="98"/>
        <v>711679.38544899994</v>
      </c>
      <c r="L188" s="270">
        <f t="shared" si="98"/>
        <v>818410.32664099988</v>
      </c>
      <c r="M188" s="270">
        <f t="shared" si="98"/>
        <v>1530089.7120899998</v>
      </c>
      <c r="N188" s="270">
        <f t="shared" si="99"/>
        <v>718796.17930348997</v>
      </c>
      <c r="O188" s="270">
        <f t="shared" si="99"/>
        <v>826594.42990741006</v>
      </c>
      <c r="P188" s="270">
        <f t="shared" si="99"/>
        <v>1545390.6092109</v>
      </c>
      <c r="Q188" s="270">
        <f t="shared" si="100"/>
        <v>725984.14109652489</v>
      </c>
      <c r="R188" s="270">
        <f t="shared" si="100"/>
        <v>834860.37420648406</v>
      </c>
      <c r="S188" s="270">
        <f t="shared" si="101"/>
        <v>14999.409</v>
      </c>
      <c r="T188" s="270">
        <f t="shared" si="102"/>
        <v>733243.9825074902</v>
      </c>
      <c r="U188" s="270">
        <f t="shared" si="102"/>
        <v>843208.97794854909</v>
      </c>
      <c r="V188" s="270">
        <f t="shared" si="102"/>
        <v>1576452.9604560393</v>
      </c>
      <c r="W188" s="270">
        <f t="shared" si="103"/>
        <v>740576.42233256495</v>
      </c>
      <c r="X188" s="270">
        <f t="shared" si="103"/>
        <v>851641.06772803434</v>
      </c>
      <c r="Y188" s="270">
        <f t="shared" si="103"/>
        <v>1592217.4900605993</v>
      </c>
      <c r="Z188" s="271">
        <f t="shared" si="104"/>
        <v>747982.18655589083</v>
      </c>
      <c r="AA188" s="271">
        <f t="shared" si="104"/>
        <v>860157.47840531485</v>
      </c>
      <c r="AB188" s="271">
        <f t="shared" si="104"/>
        <v>1608139.6649612056</v>
      </c>
      <c r="AC188" s="270">
        <f t="shared" si="105"/>
        <v>755462.00842144981</v>
      </c>
      <c r="AD188" s="270">
        <f t="shared" si="105"/>
        <v>868759.0531893681</v>
      </c>
      <c r="AE188" s="270">
        <f t="shared" si="105"/>
        <v>1624221.0616108179</v>
      </c>
      <c r="AF188" s="270">
        <f t="shared" si="106"/>
        <v>763016.6285056643</v>
      </c>
      <c r="AG188" s="270">
        <f t="shared" si="106"/>
        <v>877446.64372126176</v>
      </c>
      <c r="AH188" s="270">
        <f>D188*1.01^10</f>
        <v>1640463.2722269262</v>
      </c>
    </row>
    <row r="189" spans="1:45" x14ac:dyDescent="0.25">
      <c r="A189" s="279"/>
      <c r="B189" s="279"/>
      <c r="C189" s="279"/>
      <c r="D189" s="279"/>
      <c r="E189" s="280"/>
      <c r="F189" s="280"/>
      <c r="G189" s="280"/>
      <c r="H189" s="280"/>
      <c r="I189" s="280"/>
      <c r="J189" s="280"/>
      <c r="K189" s="280"/>
      <c r="L189" s="280"/>
      <c r="M189" s="280"/>
      <c r="N189" s="280"/>
      <c r="O189" s="280"/>
      <c r="P189" s="280"/>
      <c r="Q189" s="280"/>
      <c r="R189" s="280"/>
      <c r="S189" s="280"/>
      <c r="T189" s="280"/>
      <c r="U189" s="280"/>
      <c r="V189" s="280"/>
      <c r="W189" s="280"/>
      <c r="X189" s="280"/>
      <c r="Y189" s="280"/>
      <c r="Z189" s="281"/>
      <c r="AA189" s="282"/>
      <c r="AB189" s="282"/>
      <c r="AC189" s="280"/>
      <c r="AD189" s="280"/>
      <c r="AE189" s="280"/>
      <c r="AF189" s="280"/>
      <c r="AG189" s="280"/>
      <c r="AH189" s="280"/>
    </row>
    <row r="190" spans="1:45" x14ac:dyDescent="0.25">
      <c r="A190" s="284" t="s">
        <v>616</v>
      </c>
      <c r="B190" s="273"/>
      <c r="C190" s="283">
        <v>2012</v>
      </c>
      <c r="D190" s="275"/>
      <c r="E190" s="351">
        <v>2013</v>
      </c>
      <c r="F190" s="352"/>
      <c r="G190" s="353"/>
      <c r="H190" s="351">
        <v>2014</v>
      </c>
      <c r="I190" s="352"/>
      <c r="J190" s="353"/>
      <c r="K190" s="351">
        <v>2015</v>
      </c>
      <c r="L190" s="352"/>
      <c r="M190" s="353"/>
      <c r="N190" s="351">
        <v>2016</v>
      </c>
      <c r="O190" s="352"/>
      <c r="P190" s="353"/>
      <c r="Q190" s="351">
        <v>2017</v>
      </c>
      <c r="R190" s="352"/>
      <c r="S190" s="353"/>
      <c r="T190" s="351">
        <v>2018</v>
      </c>
      <c r="U190" s="352"/>
      <c r="V190" s="353"/>
      <c r="W190" s="351">
        <v>2019</v>
      </c>
      <c r="X190" s="352"/>
      <c r="Y190" s="353"/>
      <c r="Z190" s="354">
        <v>2020</v>
      </c>
      <c r="AA190" s="355"/>
      <c r="AB190" s="356"/>
      <c r="AC190" s="351">
        <v>2021</v>
      </c>
      <c r="AD190" s="352"/>
      <c r="AE190" s="353"/>
      <c r="AF190" s="351">
        <v>2022</v>
      </c>
      <c r="AG190" s="352"/>
      <c r="AH190" s="353"/>
    </row>
    <row r="191" spans="1:45" x14ac:dyDescent="0.25">
      <c r="A191" s="284" t="s">
        <v>581</v>
      </c>
      <c r="B191" s="264" t="s">
        <v>582</v>
      </c>
      <c r="C191" s="264" t="s">
        <v>583</v>
      </c>
      <c r="D191" s="264" t="s">
        <v>2</v>
      </c>
      <c r="E191" s="264" t="s">
        <v>582</v>
      </c>
      <c r="F191" s="264" t="s">
        <v>583</v>
      </c>
      <c r="G191" s="264" t="s">
        <v>2</v>
      </c>
      <c r="H191" s="264" t="s">
        <v>582</v>
      </c>
      <c r="I191" s="264" t="s">
        <v>583</v>
      </c>
      <c r="J191" s="264" t="s">
        <v>2</v>
      </c>
      <c r="K191" s="264" t="s">
        <v>582</v>
      </c>
      <c r="L191" s="264" t="s">
        <v>583</v>
      </c>
      <c r="M191" s="264" t="s">
        <v>2</v>
      </c>
      <c r="N191" s="264" t="s">
        <v>582</v>
      </c>
      <c r="O191" s="264" t="s">
        <v>583</v>
      </c>
      <c r="P191" s="264" t="s">
        <v>2</v>
      </c>
      <c r="Q191" s="264" t="s">
        <v>582</v>
      </c>
      <c r="R191" s="264" t="s">
        <v>583</v>
      </c>
      <c r="S191" s="264" t="s">
        <v>2</v>
      </c>
      <c r="T191" s="264" t="s">
        <v>582</v>
      </c>
      <c r="U191" s="264" t="s">
        <v>583</v>
      </c>
      <c r="V191" s="264" t="s">
        <v>2</v>
      </c>
      <c r="W191" s="264" t="s">
        <v>582</v>
      </c>
      <c r="X191" s="264" t="s">
        <v>583</v>
      </c>
      <c r="Y191" s="264" t="s">
        <v>2</v>
      </c>
      <c r="Z191" s="265" t="s">
        <v>582</v>
      </c>
      <c r="AA191" s="265" t="s">
        <v>583</v>
      </c>
      <c r="AB191" s="265" t="s">
        <v>2</v>
      </c>
      <c r="AC191" s="264" t="s">
        <v>582</v>
      </c>
      <c r="AD191" s="264" t="s">
        <v>583</v>
      </c>
      <c r="AE191" s="264" t="s">
        <v>2</v>
      </c>
      <c r="AF191" s="264" t="s">
        <v>582</v>
      </c>
      <c r="AG191" s="264" t="s">
        <v>583</v>
      </c>
      <c r="AH191" s="264" t="s">
        <v>2</v>
      </c>
      <c r="AI191" t="s">
        <v>3</v>
      </c>
      <c r="AJ191" t="s">
        <v>4</v>
      </c>
      <c r="AK191" t="s">
        <v>584</v>
      </c>
      <c r="AL191" t="s">
        <v>631</v>
      </c>
      <c r="AM191" t="s">
        <v>632</v>
      </c>
      <c r="AN191" t="s">
        <v>633</v>
      </c>
      <c r="AO191" t="s">
        <v>585</v>
      </c>
      <c r="AP191" t="s">
        <v>586</v>
      </c>
      <c r="AQ191" t="s">
        <v>587</v>
      </c>
      <c r="AS191" t="s">
        <v>588</v>
      </c>
    </row>
    <row r="192" spans="1:45" x14ac:dyDescent="0.25">
      <c r="A192" s="11" t="s">
        <v>589</v>
      </c>
      <c r="B192" s="11">
        <v>149081</v>
      </c>
      <c r="C192" s="11">
        <v>150144</v>
      </c>
      <c r="D192" s="11">
        <v>299225</v>
      </c>
      <c r="E192" s="266">
        <f>B192*1.01</f>
        <v>150571.81</v>
      </c>
      <c r="F192" s="266">
        <f>C192*1.01</f>
        <v>151645.44</v>
      </c>
      <c r="G192" s="266">
        <f>D192*1.01</f>
        <v>302217.25</v>
      </c>
      <c r="H192" s="266">
        <f>B192*1.01^2</f>
        <v>152077.5281</v>
      </c>
      <c r="I192" s="266">
        <f>C192*1.01^2</f>
        <v>153161.89439999999</v>
      </c>
      <c r="J192" s="266">
        <f>D192*1.01^2</f>
        <v>305239.42249999999</v>
      </c>
      <c r="K192" s="266">
        <f>B192*1.01^3</f>
        <v>153598.30338099998</v>
      </c>
      <c r="L192" s="266">
        <f>C192*1.01^3</f>
        <v>154693.51334399998</v>
      </c>
      <c r="M192" s="266">
        <f>D192*1.01^3</f>
        <v>308291.81672499998</v>
      </c>
      <c r="N192" s="266">
        <f>B192*1.01^4</f>
        <v>155134.28641480999</v>
      </c>
      <c r="O192" s="266">
        <f>C192*1.01^4</f>
        <v>156240.44847743999</v>
      </c>
      <c r="P192" s="266">
        <f>D192*1.01^4</f>
        <v>311374.73489224998</v>
      </c>
      <c r="Q192" s="266">
        <f>B192*1.01^5</f>
        <v>156685.62927895808</v>
      </c>
      <c r="R192" s="266">
        <f>C192*1.01^5</f>
        <v>157802.85296221438</v>
      </c>
      <c r="S192" s="266">
        <f>D192*1.01^5</f>
        <v>314488.48224117246</v>
      </c>
      <c r="T192" s="266">
        <f>B192*1.01^6</f>
        <v>158252.4855717477</v>
      </c>
      <c r="U192" s="266">
        <f>C192*1.01^6</f>
        <v>159380.88149183657</v>
      </c>
      <c r="V192" s="266">
        <f>D192*1.01^6</f>
        <v>317633.36706358427</v>
      </c>
      <c r="W192" s="266">
        <f>B192*1.01^7</f>
        <v>159835.01042746514</v>
      </c>
      <c r="X192" s="266">
        <f>P192*1.01^7</f>
        <v>333835.86103092926</v>
      </c>
      <c r="Y192" s="266">
        <f>C192*1.01^7</f>
        <v>160974.69030675487</v>
      </c>
      <c r="Z192" s="267">
        <f>B192*1.01^8</f>
        <v>161433.36053173983</v>
      </c>
      <c r="AA192" s="267">
        <f>C192*1.01^8</f>
        <v>162584.43720982247</v>
      </c>
      <c r="AB192" s="267">
        <f>D192*1.01^8</f>
        <v>324017.7977415623</v>
      </c>
      <c r="AC192" s="266">
        <f>B192*1.01^9</f>
        <v>163047.69413705723</v>
      </c>
      <c r="AD192" s="266">
        <f>C192*1.01^9</f>
        <v>164210.28158192072</v>
      </c>
      <c r="AE192" s="266">
        <f>D192*1.01^9</f>
        <v>327257.97571897798</v>
      </c>
      <c r="AF192" s="266">
        <f>B192*1.01^10</f>
        <v>164678.17107842781</v>
      </c>
      <c r="AG192" s="268">
        <f>C192*1.01^10</f>
        <v>165852.38439773992</v>
      </c>
      <c r="AH192" s="266">
        <f>D192*1.01^10</f>
        <v>330530.55547616776</v>
      </c>
      <c r="AI192" s="6">
        <f>Z209/AB209</f>
        <v>0.4830580482042568</v>
      </c>
      <c r="AJ192" s="6">
        <f>AA209/AB209</f>
        <v>0.51694195179574332</v>
      </c>
      <c r="AK192" s="6">
        <f>AB192/AB209</f>
        <v>0.14093565543734446</v>
      </c>
      <c r="AL192" s="6">
        <f>SUM(AB192:AB194)/AB209</f>
        <v>0.34195000593462871</v>
      </c>
      <c r="AM192" s="6">
        <f>SUM(Z192:Z194)/Z209</f>
        <v>0.3465487384896197</v>
      </c>
      <c r="AN192" s="6">
        <f>SUM(AA192:AA194)/AA209</f>
        <v>0.33765270569712519</v>
      </c>
      <c r="AO192" s="6">
        <f>SUM(AB192:AB196)/AB209</f>
        <v>0.56113845017643749</v>
      </c>
      <c r="AP192" s="6">
        <f>SUM(AA195:AA201)/AA209</f>
        <v>0.58460405854568764</v>
      </c>
      <c r="AQ192" s="6">
        <f>SUM(Z195:Z201)/Z209</f>
        <v>0.57864792764402362</v>
      </c>
      <c r="AR192" s="6"/>
      <c r="AS192" s="6">
        <f>SUM(AB205:AB207)/AB209</f>
        <v>2.0846089644920806E-2</v>
      </c>
    </row>
    <row r="193" spans="1:34" x14ac:dyDescent="0.25">
      <c r="A193" s="269" t="s">
        <v>590</v>
      </c>
      <c r="B193" s="11">
        <v>106443</v>
      </c>
      <c r="C193" s="11">
        <v>111042</v>
      </c>
      <c r="D193" s="11">
        <v>217485</v>
      </c>
      <c r="E193" s="266">
        <f t="shared" ref="E193:G209" si="107">B193*1.01</f>
        <v>107507.43000000001</v>
      </c>
      <c r="F193" s="266">
        <f t="shared" si="107"/>
        <v>112152.42</v>
      </c>
      <c r="G193" s="266">
        <f t="shared" si="107"/>
        <v>219659.85</v>
      </c>
      <c r="H193" s="266">
        <f t="shared" ref="H193:J209" si="108">B193*1.01^2</f>
        <v>108582.5043</v>
      </c>
      <c r="I193" s="266">
        <f t="shared" si="108"/>
        <v>113273.9442</v>
      </c>
      <c r="J193" s="266">
        <f t="shared" si="108"/>
        <v>221856.4485</v>
      </c>
      <c r="K193" s="266">
        <f t="shared" ref="K193:M209" si="109">B193*1.01^3</f>
        <v>109668.32934299999</v>
      </c>
      <c r="L193" s="266">
        <f t="shared" si="109"/>
        <v>114406.68364199999</v>
      </c>
      <c r="M193" s="266">
        <f t="shared" si="109"/>
        <v>224075.01298499998</v>
      </c>
      <c r="N193" s="266">
        <f t="shared" ref="N193:P209" si="110">B193*1.01^4</f>
        <v>110765.01263643001</v>
      </c>
      <c r="O193" s="266">
        <f t="shared" si="110"/>
        <v>115550.75047842</v>
      </c>
      <c r="P193" s="266">
        <f t="shared" si="110"/>
        <v>226315.76311485001</v>
      </c>
      <c r="Q193" s="266">
        <f t="shared" ref="Q193:S209" si="111">B193*1.01^5</f>
        <v>111872.66276279429</v>
      </c>
      <c r="R193" s="266">
        <f t="shared" si="111"/>
        <v>116706.2579832042</v>
      </c>
      <c r="S193" s="266">
        <f t="shared" si="111"/>
        <v>228578.92074599848</v>
      </c>
      <c r="T193" s="266">
        <f t="shared" ref="T193:V209" si="112">B193*1.01^6</f>
        <v>112991.38939042226</v>
      </c>
      <c r="U193" s="266">
        <f t="shared" si="112"/>
        <v>117873.32056303625</v>
      </c>
      <c r="V193" s="266">
        <f t="shared" si="112"/>
        <v>230864.70995345851</v>
      </c>
      <c r="W193" s="266">
        <f t="shared" ref="W193:W209" si="113">B193*1.01^7</f>
        <v>114121.30328432645</v>
      </c>
      <c r="X193" s="266">
        <f t="shared" ref="X193:X209" si="114">P193*1.01^7</f>
        <v>242641.13037450635</v>
      </c>
      <c r="Y193" s="266">
        <f t="shared" ref="Y193:Y209" si="115">C193*1.01^7</f>
        <v>119052.05376866659</v>
      </c>
      <c r="Z193" s="267">
        <f t="shared" ref="Z193:AB209" si="116">B193*1.01^8</f>
        <v>115262.51631716975</v>
      </c>
      <c r="AA193" s="267">
        <f t="shared" si="116"/>
        <v>120242.57430635329</v>
      </c>
      <c r="AB193" s="267">
        <f t="shared" si="116"/>
        <v>235505.09062352302</v>
      </c>
      <c r="AC193" s="266">
        <f t="shared" ref="AC193:AE209" si="117">B193*1.01^9</f>
        <v>116415.14148034145</v>
      </c>
      <c r="AD193" s="266">
        <f t="shared" si="117"/>
        <v>121445.00004941682</v>
      </c>
      <c r="AE193" s="266">
        <f t="shared" si="117"/>
        <v>237860.14152975829</v>
      </c>
      <c r="AF193" s="266">
        <f t="shared" ref="AF193:AH209" si="118">B193*1.01^10</f>
        <v>117579.29289514487</v>
      </c>
      <c r="AG193" s="268">
        <f t="shared" si="118"/>
        <v>122659.450049911</v>
      </c>
      <c r="AH193" s="266">
        <f t="shared" si="118"/>
        <v>240238.74294505586</v>
      </c>
    </row>
    <row r="194" spans="1:34" x14ac:dyDescent="0.25">
      <c r="A194" s="269" t="s">
        <v>591</v>
      </c>
      <c r="B194" s="11">
        <v>99895</v>
      </c>
      <c r="C194" s="11">
        <v>109400</v>
      </c>
      <c r="D194" s="11">
        <v>209295</v>
      </c>
      <c r="E194" s="266">
        <f t="shared" si="107"/>
        <v>100893.95</v>
      </c>
      <c r="F194" s="266">
        <f t="shared" si="107"/>
        <v>110494</v>
      </c>
      <c r="G194" s="266">
        <f t="shared" si="107"/>
        <v>211387.95</v>
      </c>
      <c r="H194" s="266">
        <f t="shared" si="108"/>
        <v>101902.8895</v>
      </c>
      <c r="I194" s="266">
        <f t="shared" si="108"/>
        <v>111598.94</v>
      </c>
      <c r="J194" s="266">
        <f t="shared" si="108"/>
        <v>213501.82949999999</v>
      </c>
      <c r="K194" s="266">
        <f t="shared" si="109"/>
        <v>102921.91839499999</v>
      </c>
      <c r="L194" s="266">
        <f t="shared" si="109"/>
        <v>112714.92939999999</v>
      </c>
      <c r="M194" s="266">
        <f t="shared" si="109"/>
        <v>215636.84779499998</v>
      </c>
      <c r="N194" s="266">
        <f t="shared" si="110"/>
        <v>103951.13757895</v>
      </c>
      <c r="O194" s="266">
        <f t="shared" si="110"/>
        <v>113842.078694</v>
      </c>
      <c r="P194" s="266">
        <f t="shared" si="110"/>
        <v>217793.21627295</v>
      </c>
      <c r="Q194" s="266">
        <f t="shared" si="111"/>
        <v>104990.64895473949</v>
      </c>
      <c r="R194" s="266">
        <f t="shared" si="111"/>
        <v>114980.49948093999</v>
      </c>
      <c r="S194" s="266">
        <f t="shared" si="111"/>
        <v>219971.1484356795</v>
      </c>
      <c r="T194" s="266">
        <f t="shared" si="112"/>
        <v>106040.5554442869</v>
      </c>
      <c r="U194" s="266">
        <f t="shared" si="112"/>
        <v>116130.30447574942</v>
      </c>
      <c r="V194" s="266">
        <f t="shared" si="112"/>
        <v>222170.85992003631</v>
      </c>
      <c r="W194" s="266">
        <f t="shared" si="113"/>
        <v>107100.96099872974</v>
      </c>
      <c r="X194" s="266">
        <f t="shared" si="114"/>
        <v>233503.80661531739</v>
      </c>
      <c r="Y194" s="266">
        <f t="shared" si="115"/>
        <v>117291.60752050688</v>
      </c>
      <c r="Z194" s="267">
        <f t="shared" si="116"/>
        <v>108171.97060871708</v>
      </c>
      <c r="AA194" s="267">
        <f t="shared" si="116"/>
        <v>118464.52359571197</v>
      </c>
      <c r="AB194" s="267">
        <f t="shared" si="116"/>
        <v>226636.49420442907</v>
      </c>
      <c r="AC194" s="266">
        <f t="shared" si="117"/>
        <v>109253.69031480425</v>
      </c>
      <c r="AD194" s="266">
        <f t="shared" si="117"/>
        <v>119649.1688316691</v>
      </c>
      <c r="AE194" s="266">
        <f t="shared" si="117"/>
        <v>228902.85914647335</v>
      </c>
      <c r="AF194" s="266">
        <f t="shared" si="118"/>
        <v>110346.2272179523</v>
      </c>
      <c r="AG194" s="268">
        <f t="shared" si="118"/>
        <v>120845.6605199858</v>
      </c>
      <c r="AH194" s="266">
        <f t="shared" si="118"/>
        <v>231191.88773793809</v>
      </c>
    </row>
    <row r="195" spans="1:34" x14ac:dyDescent="0.25">
      <c r="A195" s="11" t="s">
        <v>592</v>
      </c>
      <c r="B195" s="11">
        <v>93859</v>
      </c>
      <c r="C195" s="11">
        <v>126039</v>
      </c>
      <c r="D195" s="11">
        <v>219898</v>
      </c>
      <c r="E195" s="266">
        <f t="shared" si="107"/>
        <v>94797.59</v>
      </c>
      <c r="F195" s="266">
        <f t="shared" si="107"/>
        <v>127299.39</v>
      </c>
      <c r="G195" s="266">
        <f t="shared" si="107"/>
        <v>222096.98</v>
      </c>
      <c r="H195" s="266">
        <f t="shared" si="108"/>
        <v>95745.565900000001</v>
      </c>
      <c r="I195" s="266">
        <f t="shared" si="108"/>
        <v>128572.3839</v>
      </c>
      <c r="J195" s="266">
        <f t="shared" si="108"/>
        <v>224317.9498</v>
      </c>
      <c r="K195" s="266">
        <f t="shared" si="109"/>
        <v>96703.021558999986</v>
      </c>
      <c r="L195" s="266">
        <f t="shared" si="109"/>
        <v>129858.10773899998</v>
      </c>
      <c r="M195" s="266">
        <f t="shared" si="109"/>
        <v>226561.12929799999</v>
      </c>
      <c r="N195" s="266">
        <f t="shared" si="110"/>
        <v>97670.05177459</v>
      </c>
      <c r="O195" s="266">
        <f t="shared" si="110"/>
        <v>131156.68881639</v>
      </c>
      <c r="P195" s="266">
        <f t="shared" si="110"/>
        <v>228826.74059098001</v>
      </c>
      <c r="Q195" s="266">
        <f t="shared" si="111"/>
        <v>98646.752292335892</v>
      </c>
      <c r="R195" s="266">
        <f t="shared" si="111"/>
        <v>132468.25570455389</v>
      </c>
      <c r="S195" s="266">
        <f t="shared" si="111"/>
        <v>231115.00799688979</v>
      </c>
      <c r="T195" s="266">
        <f t="shared" si="112"/>
        <v>99633.219815259275</v>
      </c>
      <c r="U195" s="266">
        <f t="shared" si="112"/>
        <v>133792.93826159945</v>
      </c>
      <c r="V195" s="266">
        <f t="shared" si="112"/>
        <v>233426.15807685873</v>
      </c>
      <c r="W195" s="266">
        <f t="shared" si="113"/>
        <v>100629.55201341184</v>
      </c>
      <c r="X195" s="266">
        <f t="shared" si="114"/>
        <v>245333.23809500976</v>
      </c>
      <c r="Y195" s="266">
        <f t="shared" si="115"/>
        <v>135130.86764421541</v>
      </c>
      <c r="Z195" s="267">
        <f t="shared" si="116"/>
        <v>101635.84753354598</v>
      </c>
      <c r="AA195" s="267">
        <f t="shared" si="116"/>
        <v>136482.1763206576</v>
      </c>
      <c r="AB195" s="267">
        <f t="shared" si="116"/>
        <v>238118.02385420358</v>
      </c>
      <c r="AC195" s="266">
        <f t="shared" si="117"/>
        <v>102652.20600888145</v>
      </c>
      <c r="AD195" s="266">
        <f t="shared" si="117"/>
        <v>137846.99808386419</v>
      </c>
      <c r="AE195" s="266">
        <f t="shared" si="117"/>
        <v>240499.20409274564</v>
      </c>
      <c r="AF195" s="266">
        <f t="shared" si="118"/>
        <v>103678.72806897026</v>
      </c>
      <c r="AG195" s="268">
        <f t="shared" si="118"/>
        <v>139225.46806470284</v>
      </c>
      <c r="AH195" s="266">
        <f t="shared" si="118"/>
        <v>242904.1961336731</v>
      </c>
    </row>
    <row r="196" spans="1:34" x14ac:dyDescent="0.25">
      <c r="A196" s="11" t="s">
        <v>593</v>
      </c>
      <c r="B196" s="11">
        <v>107782</v>
      </c>
      <c r="C196" s="11">
        <v>137686</v>
      </c>
      <c r="D196" s="11">
        <v>245468</v>
      </c>
      <c r="E196" s="266">
        <f t="shared" si="107"/>
        <v>108859.82</v>
      </c>
      <c r="F196" s="266">
        <f t="shared" si="107"/>
        <v>139062.86000000002</v>
      </c>
      <c r="G196" s="266">
        <f t="shared" si="107"/>
        <v>247922.68</v>
      </c>
      <c r="H196" s="266">
        <f t="shared" si="108"/>
        <v>109948.4182</v>
      </c>
      <c r="I196" s="266">
        <f t="shared" si="108"/>
        <v>140453.48860000001</v>
      </c>
      <c r="J196" s="266">
        <f t="shared" si="108"/>
        <v>250401.9068</v>
      </c>
      <c r="K196" s="266">
        <f t="shared" si="109"/>
        <v>111047.90238199999</v>
      </c>
      <c r="L196" s="266">
        <f t="shared" si="109"/>
        <v>141858.02348599999</v>
      </c>
      <c r="M196" s="266">
        <f t="shared" si="109"/>
        <v>252905.92586799999</v>
      </c>
      <c r="N196" s="266">
        <f t="shared" si="110"/>
        <v>112158.38140582001</v>
      </c>
      <c r="O196" s="266">
        <f t="shared" si="110"/>
        <v>143276.60372086</v>
      </c>
      <c r="P196" s="266">
        <f t="shared" si="110"/>
        <v>255434.98512668</v>
      </c>
      <c r="Q196" s="266">
        <f t="shared" si="111"/>
        <v>113279.9652198782</v>
      </c>
      <c r="R196" s="266">
        <f t="shared" si="111"/>
        <v>144709.36975806858</v>
      </c>
      <c r="S196" s="266">
        <f t="shared" si="111"/>
        <v>257989.33497794677</v>
      </c>
      <c r="T196" s="266">
        <f t="shared" si="112"/>
        <v>114412.76487207699</v>
      </c>
      <c r="U196" s="266">
        <f t="shared" si="112"/>
        <v>146156.4634556493</v>
      </c>
      <c r="V196" s="266">
        <f t="shared" si="112"/>
        <v>260569.2283277263</v>
      </c>
      <c r="W196" s="266">
        <f t="shared" si="113"/>
        <v>115556.89252079773</v>
      </c>
      <c r="X196" s="266">
        <f t="shared" si="114"/>
        <v>273860.87771924189</v>
      </c>
      <c r="Y196" s="266">
        <f t="shared" si="115"/>
        <v>147618.02809020574</v>
      </c>
      <c r="Z196" s="267">
        <f t="shared" si="116"/>
        <v>116712.46144600575</v>
      </c>
      <c r="AA196" s="267">
        <f t="shared" si="116"/>
        <v>149094.20837110784</v>
      </c>
      <c r="AB196" s="267">
        <f t="shared" si="116"/>
        <v>265806.66981711361</v>
      </c>
      <c r="AC196" s="266">
        <f t="shared" si="117"/>
        <v>117879.58606046581</v>
      </c>
      <c r="AD196" s="266">
        <f t="shared" si="117"/>
        <v>150585.15045481894</v>
      </c>
      <c r="AE196" s="266">
        <f t="shared" si="117"/>
        <v>268464.73651528475</v>
      </c>
      <c r="AF196" s="266">
        <f t="shared" si="118"/>
        <v>119058.38192107047</v>
      </c>
      <c r="AG196" s="268">
        <f t="shared" si="118"/>
        <v>152091.00195936713</v>
      </c>
      <c r="AH196" s="266">
        <f t="shared" si="118"/>
        <v>271149.38388043758</v>
      </c>
    </row>
    <row r="197" spans="1:34" x14ac:dyDescent="0.25">
      <c r="A197" s="11" t="s">
        <v>594</v>
      </c>
      <c r="B197" s="11">
        <v>119069</v>
      </c>
      <c r="C197" s="11">
        <v>133773</v>
      </c>
      <c r="D197" s="11">
        <v>252842</v>
      </c>
      <c r="E197" s="266">
        <f t="shared" si="107"/>
        <v>120259.69</v>
      </c>
      <c r="F197" s="266">
        <f t="shared" si="107"/>
        <v>135110.73000000001</v>
      </c>
      <c r="G197" s="266">
        <f t="shared" si="107"/>
        <v>255370.42</v>
      </c>
      <c r="H197" s="266">
        <f t="shared" si="108"/>
        <v>121462.28690000001</v>
      </c>
      <c r="I197" s="266">
        <f t="shared" si="108"/>
        <v>136461.83730000001</v>
      </c>
      <c r="J197" s="266">
        <f t="shared" si="108"/>
        <v>257924.12419999999</v>
      </c>
      <c r="K197" s="266">
        <f t="shared" si="109"/>
        <v>122676.90976899999</v>
      </c>
      <c r="L197" s="266">
        <f t="shared" si="109"/>
        <v>137826.45567299999</v>
      </c>
      <c r="M197" s="266">
        <f t="shared" si="109"/>
        <v>260503.36544199998</v>
      </c>
      <c r="N197" s="266">
        <f t="shared" si="110"/>
        <v>123903.67886669</v>
      </c>
      <c r="O197" s="266">
        <f t="shared" si="110"/>
        <v>139204.72022973001</v>
      </c>
      <c r="P197" s="266">
        <f t="shared" si="110"/>
        <v>263108.39909642003</v>
      </c>
      <c r="Q197" s="266">
        <f t="shared" si="111"/>
        <v>125142.71565535689</v>
      </c>
      <c r="R197" s="266">
        <f t="shared" si="111"/>
        <v>140596.76743202729</v>
      </c>
      <c r="S197" s="266">
        <f t="shared" si="111"/>
        <v>265739.4830873842</v>
      </c>
      <c r="T197" s="266">
        <f t="shared" si="112"/>
        <v>126394.14281191048</v>
      </c>
      <c r="U197" s="266">
        <f t="shared" si="112"/>
        <v>142002.73510634759</v>
      </c>
      <c r="V197" s="266">
        <f t="shared" si="112"/>
        <v>268396.87791825808</v>
      </c>
      <c r="W197" s="266">
        <f t="shared" si="113"/>
        <v>127658.08424002955</v>
      </c>
      <c r="X197" s="266">
        <f t="shared" si="114"/>
        <v>282087.81610755197</v>
      </c>
      <c r="Y197" s="266">
        <f t="shared" si="115"/>
        <v>143422.76245741104</v>
      </c>
      <c r="Z197" s="267">
        <f t="shared" si="116"/>
        <v>128934.66508242988</v>
      </c>
      <c r="AA197" s="267">
        <f t="shared" si="116"/>
        <v>144856.99008198519</v>
      </c>
      <c r="AB197" s="267">
        <f t="shared" si="116"/>
        <v>273791.65516441507</v>
      </c>
      <c r="AC197" s="266">
        <f t="shared" si="117"/>
        <v>130224.0117332542</v>
      </c>
      <c r="AD197" s="266">
        <f t="shared" si="117"/>
        <v>146305.55998280505</v>
      </c>
      <c r="AE197" s="266">
        <f t="shared" si="117"/>
        <v>276529.57171605923</v>
      </c>
      <c r="AF197" s="266">
        <f t="shared" si="118"/>
        <v>131526.25185058673</v>
      </c>
      <c r="AG197" s="268">
        <f t="shared" si="118"/>
        <v>147768.61558263309</v>
      </c>
      <c r="AH197" s="266">
        <f t="shared" si="118"/>
        <v>279294.86743321986</v>
      </c>
    </row>
    <row r="198" spans="1:34" x14ac:dyDescent="0.25">
      <c r="A198" s="11" t="s">
        <v>595</v>
      </c>
      <c r="B198" s="11">
        <v>101480</v>
      </c>
      <c r="C198" s="11">
        <v>98948</v>
      </c>
      <c r="D198" s="11">
        <v>200428</v>
      </c>
      <c r="E198" s="266">
        <f t="shared" si="107"/>
        <v>102494.8</v>
      </c>
      <c r="F198" s="266">
        <f t="shared" si="107"/>
        <v>99937.48</v>
      </c>
      <c r="G198" s="266">
        <f t="shared" si="107"/>
        <v>202432.28</v>
      </c>
      <c r="H198" s="266">
        <f t="shared" si="108"/>
        <v>103519.74800000001</v>
      </c>
      <c r="I198" s="266">
        <f t="shared" si="108"/>
        <v>100936.8548</v>
      </c>
      <c r="J198" s="266">
        <f t="shared" si="108"/>
        <v>204456.60279999999</v>
      </c>
      <c r="K198" s="266">
        <f t="shared" si="109"/>
        <v>104554.94547999999</v>
      </c>
      <c r="L198" s="266">
        <f t="shared" si="109"/>
        <v>101946.22334799998</v>
      </c>
      <c r="M198" s="266">
        <f t="shared" si="109"/>
        <v>206501.16882799999</v>
      </c>
      <c r="N198" s="266">
        <f t="shared" si="110"/>
        <v>105600.49493480001</v>
      </c>
      <c r="O198" s="266">
        <f t="shared" si="110"/>
        <v>102965.68558148001</v>
      </c>
      <c r="P198" s="266">
        <f t="shared" si="110"/>
        <v>208566.18051628</v>
      </c>
      <c r="Q198" s="266">
        <f t="shared" si="111"/>
        <v>106656.499884148</v>
      </c>
      <c r="R198" s="266">
        <f t="shared" si="111"/>
        <v>103995.34243729479</v>
      </c>
      <c r="S198" s="266">
        <f t="shared" si="111"/>
        <v>210651.84232144279</v>
      </c>
      <c r="T198" s="266">
        <f t="shared" si="112"/>
        <v>107723.06488298949</v>
      </c>
      <c r="U198" s="266">
        <f t="shared" si="112"/>
        <v>105035.29586166776</v>
      </c>
      <c r="V198" s="266">
        <f t="shared" si="112"/>
        <v>212758.36074465726</v>
      </c>
      <c r="W198" s="266">
        <f t="shared" si="113"/>
        <v>108800.29553181936</v>
      </c>
      <c r="X198" s="266">
        <f t="shared" si="114"/>
        <v>223611.17538543604</v>
      </c>
      <c r="Y198" s="266">
        <f t="shared" si="115"/>
        <v>106085.6488202844</v>
      </c>
      <c r="Z198" s="267">
        <f t="shared" si="116"/>
        <v>109888.29848713758</v>
      </c>
      <c r="AA198" s="267">
        <f t="shared" si="116"/>
        <v>107146.50530848728</v>
      </c>
      <c r="AB198" s="267">
        <f t="shared" si="116"/>
        <v>217034.80379562487</v>
      </c>
      <c r="AC198" s="266">
        <f t="shared" si="117"/>
        <v>110987.18147200896</v>
      </c>
      <c r="AD198" s="266">
        <f t="shared" si="117"/>
        <v>108217.97036157217</v>
      </c>
      <c r="AE198" s="266">
        <f t="shared" si="117"/>
        <v>219205.15183358113</v>
      </c>
      <c r="AF198" s="266">
        <f t="shared" si="118"/>
        <v>112097.05328672906</v>
      </c>
      <c r="AG198" s="268">
        <f t="shared" si="118"/>
        <v>109300.15006518789</v>
      </c>
      <c r="AH198" s="266">
        <f t="shared" si="118"/>
        <v>221397.20335191695</v>
      </c>
    </row>
    <row r="199" spans="1:34" x14ac:dyDescent="0.25">
      <c r="A199" s="11" t="s">
        <v>596</v>
      </c>
      <c r="B199" s="11">
        <v>80602</v>
      </c>
      <c r="C199" s="11">
        <v>70363</v>
      </c>
      <c r="D199" s="11">
        <v>150965</v>
      </c>
      <c r="E199" s="266">
        <f t="shared" si="107"/>
        <v>81408.02</v>
      </c>
      <c r="F199" s="266">
        <f t="shared" si="107"/>
        <v>71066.63</v>
      </c>
      <c r="G199" s="266">
        <f t="shared" si="107"/>
        <v>152474.65</v>
      </c>
      <c r="H199" s="266">
        <f t="shared" si="108"/>
        <v>82222.100200000001</v>
      </c>
      <c r="I199" s="266">
        <f t="shared" si="108"/>
        <v>71777.296300000002</v>
      </c>
      <c r="J199" s="266">
        <f t="shared" si="108"/>
        <v>153999.3965</v>
      </c>
      <c r="K199" s="266">
        <f t="shared" si="109"/>
        <v>83044.321201999992</v>
      </c>
      <c r="L199" s="266">
        <f t="shared" si="109"/>
        <v>72495.069262999998</v>
      </c>
      <c r="M199" s="266">
        <f t="shared" si="109"/>
        <v>155539.39046499997</v>
      </c>
      <c r="N199" s="266">
        <f t="shared" si="110"/>
        <v>83874.764414019999</v>
      </c>
      <c r="O199" s="266">
        <f t="shared" si="110"/>
        <v>73220.019955630007</v>
      </c>
      <c r="P199" s="266">
        <f t="shared" si="110"/>
        <v>157094.78436965001</v>
      </c>
      <c r="Q199" s="266">
        <f t="shared" si="111"/>
        <v>84713.512058160195</v>
      </c>
      <c r="R199" s="266">
        <f t="shared" si="111"/>
        <v>73952.220155186296</v>
      </c>
      <c r="S199" s="266">
        <f t="shared" si="111"/>
        <v>158665.73221334649</v>
      </c>
      <c r="T199" s="266">
        <f t="shared" si="112"/>
        <v>85560.647178741812</v>
      </c>
      <c r="U199" s="266">
        <f t="shared" si="112"/>
        <v>74691.742356738177</v>
      </c>
      <c r="V199" s="266">
        <f t="shared" si="112"/>
        <v>160252.38953547998</v>
      </c>
      <c r="W199" s="266">
        <f t="shared" si="113"/>
        <v>86416.253650529208</v>
      </c>
      <c r="X199" s="266">
        <f t="shared" si="114"/>
        <v>168426.87195432949</v>
      </c>
      <c r="Y199" s="266">
        <f t="shared" si="115"/>
        <v>75438.659780305534</v>
      </c>
      <c r="Z199" s="267">
        <f t="shared" si="116"/>
        <v>87280.416187034527</v>
      </c>
      <c r="AA199" s="267">
        <f t="shared" si="116"/>
        <v>76193.046378108615</v>
      </c>
      <c r="AB199" s="267">
        <f t="shared" si="116"/>
        <v>163473.46256514313</v>
      </c>
      <c r="AC199" s="266">
        <f t="shared" si="117"/>
        <v>88153.22034890487</v>
      </c>
      <c r="AD199" s="266">
        <f t="shared" si="117"/>
        <v>76954.9768418897</v>
      </c>
      <c r="AE199" s="266">
        <f t="shared" si="117"/>
        <v>165108.19719079457</v>
      </c>
      <c r="AF199" s="266">
        <f t="shared" si="118"/>
        <v>89034.752552393926</v>
      </c>
      <c r="AG199" s="268">
        <f t="shared" si="118"/>
        <v>77724.526610308603</v>
      </c>
      <c r="AH199" s="266">
        <f t="shared" si="118"/>
        <v>166759.27916270253</v>
      </c>
    </row>
    <row r="200" spans="1:34" x14ac:dyDescent="0.25">
      <c r="A200" s="11" t="s">
        <v>597</v>
      </c>
      <c r="B200" s="11">
        <v>59025</v>
      </c>
      <c r="C200" s="11">
        <v>45371</v>
      </c>
      <c r="D200" s="11">
        <v>104396</v>
      </c>
      <c r="E200" s="266">
        <f t="shared" si="107"/>
        <v>59615.25</v>
      </c>
      <c r="F200" s="266">
        <f t="shared" si="107"/>
        <v>45824.71</v>
      </c>
      <c r="G200" s="266">
        <f t="shared" si="107"/>
        <v>105439.96</v>
      </c>
      <c r="H200" s="266">
        <f t="shared" si="108"/>
        <v>60211.402500000004</v>
      </c>
      <c r="I200" s="266">
        <f t="shared" si="108"/>
        <v>46282.9571</v>
      </c>
      <c r="J200" s="266">
        <f t="shared" si="108"/>
        <v>106494.3596</v>
      </c>
      <c r="K200" s="266">
        <f t="shared" si="109"/>
        <v>60813.516524999992</v>
      </c>
      <c r="L200" s="266">
        <f t="shared" si="109"/>
        <v>46745.786670999994</v>
      </c>
      <c r="M200" s="266">
        <f t="shared" si="109"/>
        <v>107559.30319599999</v>
      </c>
      <c r="N200" s="266">
        <f t="shared" si="110"/>
        <v>61421.651690250001</v>
      </c>
      <c r="O200" s="266">
        <f t="shared" si="110"/>
        <v>47213.244537710001</v>
      </c>
      <c r="P200" s="266">
        <f t="shared" si="110"/>
        <v>108634.89622796001</v>
      </c>
      <c r="Q200" s="266">
        <f t="shared" si="111"/>
        <v>62035.868207152496</v>
      </c>
      <c r="R200" s="266">
        <f t="shared" si="111"/>
        <v>47685.376983087095</v>
      </c>
      <c r="S200" s="266">
        <f t="shared" si="111"/>
        <v>109721.2451902396</v>
      </c>
      <c r="T200" s="266">
        <f t="shared" si="112"/>
        <v>62656.226889224032</v>
      </c>
      <c r="U200" s="266">
        <f t="shared" si="112"/>
        <v>48162.230752917974</v>
      </c>
      <c r="V200" s="266">
        <f t="shared" si="112"/>
        <v>110818.45764214201</v>
      </c>
      <c r="W200" s="266">
        <f t="shared" si="113"/>
        <v>63282.789158116255</v>
      </c>
      <c r="X200" s="266">
        <f t="shared" si="114"/>
        <v>116471.31271847239</v>
      </c>
      <c r="Y200" s="266">
        <f t="shared" si="115"/>
        <v>48643.853060447145</v>
      </c>
      <c r="Z200" s="267">
        <f t="shared" si="116"/>
        <v>63915.617049697437</v>
      </c>
      <c r="AA200" s="267">
        <f t="shared" si="116"/>
        <v>49130.291591051631</v>
      </c>
      <c r="AB200" s="267">
        <f t="shared" si="116"/>
        <v>113045.90864074907</v>
      </c>
      <c r="AC200" s="266">
        <f t="shared" si="117"/>
        <v>64554.773220194416</v>
      </c>
      <c r="AD200" s="266">
        <f t="shared" si="117"/>
        <v>49621.594506962145</v>
      </c>
      <c r="AE200" s="266">
        <f t="shared" si="117"/>
        <v>114176.36772715657</v>
      </c>
      <c r="AF200" s="266">
        <f t="shared" si="118"/>
        <v>65200.32095239636</v>
      </c>
      <c r="AG200" s="268">
        <f t="shared" si="118"/>
        <v>50117.810452031772</v>
      </c>
      <c r="AH200" s="266">
        <f t="shared" si="118"/>
        <v>115318.13140442813</v>
      </c>
    </row>
    <row r="201" spans="1:34" x14ac:dyDescent="0.25">
      <c r="A201" s="11" t="s">
        <v>598</v>
      </c>
      <c r="B201" s="11">
        <v>31642</v>
      </c>
      <c r="C201" s="11">
        <v>29444</v>
      </c>
      <c r="D201" s="11">
        <v>61086</v>
      </c>
      <c r="E201" s="266">
        <f t="shared" si="107"/>
        <v>31958.420000000002</v>
      </c>
      <c r="F201" s="266">
        <f t="shared" si="107"/>
        <v>29738.44</v>
      </c>
      <c r="G201" s="266">
        <f t="shared" si="107"/>
        <v>61696.86</v>
      </c>
      <c r="H201" s="266">
        <f t="shared" si="108"/>
        <v>32278.004199999999</v>
      </c>
      <c r="I201" s="266">
        <f t="shared" si="108"/>
        <v>30035.824400000001</v>
      </c>
      <c r="J201" s="266">
        <f t="shared" si="108"/>
        <v>62313.828600000001</v>
      </c>
      <c r="K201" s="266">
        <f t="shared" si="109"/>
        <v>32600.784241999998</v>
      </c>
      <c r="L201" s="266">
        <f t="shared" si="109"/>
        <v>30336.182643999997</v>
      </c>
      <c r="M201" s="266">
        <f t="shared" si="109"/>
        <v>62936.966885999995</v>
      </c>
      <c r="N201" s="266">
        <f t="shared" si="110"/>
        <v>32926.792084419998</v>
      </c>
      <c r="O201" s="266">
        <f t="shared" si="110"/>
        <v>30639.54447044</v>
      </c>
      <c r="P201" s="266">
        <f t="shared" si="110"/>
        <v>63566.336554860005</v>
      </c>
      <c r="Q201" s="266">
        <f t="shared" si="111"/>
        <v>33256.060005264197</v>
      </c>
      <c r="R201" s="266">
        <f t="shared" si="111"/>
        <v>30945.939915144398</v>
      </c>
      <c r="S201" s="266">
        <f t="shared" si="111"/>
        <v>64201.999920408598</v>
      </c>
      <c r="T201" s="266">
        <f t="shared" si="112"/>
        <v>33588.62060531685</v>
      </c>
      <c r="U201" s="266">
        <f t="shared" si="112"/>
        <v>31255.39931429585</v>
      </c>
      <c r="V201" s="266">
        <f t="shared" si="112"/>
        <v>64844.019919612692</v>
      </c>
      <c r="W201" s="266">
        <f t="shared" si="113"/>
        <v>33924.506811370004</v>
      </c>
      <c r="X201" s="266">
        <f t="shared" si="114"/>
        <v>68151.716624397523</v>
      </c>
      <c r="Y201" s="266">
        <f t="shared" si="115"/>
        <v>31567.953307438798</v>
      </c>
      <c r="Z201" s="267">
        <f t="shared" si="116"/>
        <v>34263.751879483716</v>
      </c>
      <c r="AA201" s="267">
        <f t="shared" si="116"/>
        <v>31883.632840513194</v>
      </c>
      <c r="AB201" s="267">
        <f t="shared" si="116"/>
        <v>66147.384719996902</v>
      </c>
      <c r="AC201" s="266">
        <f t="shared" si="117"/>
        <v>34606.389398278552</v>
      </c>
      <c r="AD201" s="266">
        <f t="shared" si="117"/>
        <v>32202.469168918327</v>
      </c>
      <c r="AE201" s="266">
        <f t="shared" si="117"/>
        <v>66808.858567196876</v>
      </c>
      <c r="AF201" s="266">
        <f t="shared" si="118"/>
        <v>34952.453292261343</v>
      </c>
      <c r="AG201" s="268">
        <f t="shared" si="118"/>
        <v>32524.493860607512</v>
      </c>
      <c r="AH201" s="266">
        <f t="shared" si="118"/>
        <v>67476.947152868859</v>
      </c>
    </row>
    <row r="202" spans="1:34" x14ac:dyDescent="0.25">
      <c r="A202" s="11" t="s">
        <v>599</v>
      </c>
      <c r="B202" s="11">
        <v>23077</v>
      </c>
      <c r="C202" s="11">
        <v>25829</v>
      </c>
      <c r="D202" s="11">
        <v>48906</v>
      </c>
      <c r="E202" s="266">
        <f t="shared" si="107"/>
        <v>23307.77</v>
      </c>
      <c r="F202" s="266">
        <f t="shared" si="107"/>
        <v>26087.29</v>
      </c>
      <c r="G202" s="266">
        <f t="shared" si="107"/>
        <v>49395.06</v>
      </c>
      <c r="H202" s="266">
        <f t="shared" si="108"/>
        <v>23540.847699999998</v>
      </c>
      <c r="I202" s="266">
        <f t="shared" si="108"/>
        <v>26348.162899999999</v>
      </c>
      <c r="J202" s="266">
        <f t="shared" si="108"/>
        <v>49889.010600000001</v>
      </c>
      <c r="K202" s="266">
        <f t="shared" si="109"/>
        <v>23776.256176999999</v>
      </c>
      <c r="L202" s="266">
        <f t="shared" si="109"/>
        <v>26611.644528999997</v>
      </c>
      <c r="M202" s="266">
        <f t="shared" si="109"/>
        <v>50387.900705999993</v>
      </c>
      <c r="N202" s="266">
        <f t="shared" si="110"/>
        <v>24014.018738769999</v>
      </c>
      <c r="O202" s="266">
        <f t="shared" si="110"/>
        <v>26877.760974290002</v>
      </c>
      <c r="P202" s="266">
        <f t="shared" si="110"/>
        <v>50891.779713060001</v>
      </c>
      <c r="Q202" s="266">
        <f t="shared" si="111"/>
        <v>24254.158926157699</v>
      </c>
      <c r="R202" s="266">
        <f t="shared" si="111"/>
        <v>27146.538584032896</v>
      </c>
      <c r="S202" s="266">
        <f t="shared" si="111"/>
        <v>51400.697510190599</v>
      </c>
      <c r="T202" s="266">
        <f t="shared" si="112"/>
        <v>24496.700515419281</v>
      </c>
      <c r="U202" s="266">
        <f t="shared" si="112"/>
        <v>27418.003969873233</v>
      </c>
      <c r="V202" s="266">
        <f t="shared" si="112"/>
        <v>51914.70448529251</v>
      </c>
      <c r="W202" s="266">
        <f t="shared" si="113"/>
        <v>24741.667520573465</v>
      </c>
      <c r="X202" s="266">
        <f t="shared" si="114"/>
        <v>54562.876162013963</v>
      </c>
      <c r="Y202" s="266">
        <f t="shared" si="115"/>
        <v>27692.184009571956</v>
      </c>
      <c r="Z202" s="267">
        <f t="shared" si="116"/>
        <v>24989.084195779207</v>
      </c>
      <c r="AA202" s="267">
        <f t="shared" si="116"/>
        <v>27969.105849667685</v>
      </c>
      <c r="AB202" s="267">
        <f t="shared" si="116"/>
        <v>52958.190045446892</v>
      </c>
      <c r="AC202" s="266">
        <f t="shared" si="117"/>
        <v>25238.975037737</v>
      </c>
      <c r="AD202" s="266">
        <f t="shared" si="117"/>
        <v>28248.796908164364</v>
      </c>
      <c r="AE202" s="266">
        <f t="shared" si="117"/>
        <v>53487.771945901368</v>
      </c>
      <c r="AF202" s="266">
        <f t="shared" si="118"/>
        <v>25491.364788114373</v>
      </c>
      <c r="AG202" s="268">
        <f t="shared" si="118"/>
        <v>28531.284877246006</v>
      </c>
      <c r="AH202" s="266">
        <f t="shared" si="118"/>
        <v>54022.649665360383</v>
      </c>
    </row>
    <row r="203" spans="1:34" x14ac:dyDescent="0.25">
      <c r="A203" s="11" t="s">
        <v>600</v>
      </c>
      <c r="B203" s="11">
        <v>18597</v>
      </c>
      <c r="C203" s="11">
        <v>19225</v>
      </c>
      <c r="D203" s="11">
        <v>37822</v>
      </c>
      <c r="E203" s="266">
        <f t="shared" si="107"/>
        <v>18782.97</v>
      </c>
      <c r="F203" s="266">
        <f t="shared" si="107"/>
        <v>19417.25</v>
      </c>
      <c r="G203" s="266">
        <f t="shared" si="107"/>
        <v>38200.22</v>
      </c>
      <c r="H203" s="266">
        <f t="shared" si="108"/>
        <v>18970.7997</v>
      </c>
      <c r="I203" s="266">
        <f t="shared" si="108"/>
        <v>19611.422500000001</v>
      </c>
      <c r="J203" s="266">
        <f t="shared" si="108"/>
        <v>38582.222200000004</v>
      </c>
      <c r="K203" s="266">
        <f t="shared" si="109"/>
        <v>19160.507696999997</v>
      </c>
      <c r="L203" s="266">
        <f t="shared" si="109"/>
        <v>19807.536724999998</v>
      </c>
      <c r="M203" s="266">
        <f t="shared" si="109"/>
        <v>38968.044421999999</v>
      </c>
      <c r="N203" s="266">
        <f t="shared" si="110"/>
        <v>19352.112773969999</v>
      </c>
      <c r="O203" s="266">
        <f t="shared" si="110"/>
        <v>20005.612092250001</v>
      </c>
      <c r="P203" s="266">
        <f t="shared" si="110"/>
        <v>39357.72486622</v>
      </c>
      <c r="Q203" s="266">
        <f t="shared" si="111"/>
        <v>19545.633901709698</v>
      </c>
      <c r="R203" s="266">
        <f t="shared" si="111"/>
        <v>20205.668213172499</v>
      </c>
      <c r="S203" s="266">
        <f t="shared" si="111"/>
        <v>39751.302114882201</v>
      </c>
      <c r="T203" s="266">
        <f t="shared" si="112"/>
        <v>19741.0902407268</v>
      </c>
      <c r="U203" s="266">
        <f t="shared" si="112"/>
        <v>20407.724895304229</v>
      </c>
      <c r="V203" s="266">
        <f t="shared" si="112"/>
        <v>40148.815136031029</v>
      </c>
      <c r="W203" s="266">
        <f t="shared" si="113"/>
        <v>19938.501143134061</v>
      </c>
      <c r="X203" s="266">
        <f t="shared" si="114"/>
        <v>42196.808207575596</v>
      </c>
      <c r="Y203" s="266">
        <f t="shared" si="115"/>
        <v>20611.802144257264</v>
      </c>
      <c r="Z203" s="267">
        <f t="shared" si="116"/>
        <v>20137.886154565407</v>
      </c>
      <c r="AA203" s="267">
        <f t="shared" si="116"/>
        <v>20817.920165699841</v>
      </c>
      <c r="AB203" s="267">
        <f t="shared" si="116"/>
        <v>40955.806320265248</v>
      </c>
      <c r="AC203" s="266">
        <f t="shared" si="117"/>
        <v>20339.265016111065</v>
      </c>
      <c r="AD203" s="266">
        <f t="shared" si="117"/>
        <v>21026.099367356841</v>
      </c>
      <c r="AE203" s="266">
        <f t="shared" si="117"/>
        <v>41365.364383467902</v>
      </c>
      <c r="AF203" s="266">
        <f t="shared" si="118"/>
        <v>20542.657666272175</v>
      </c>
      <c r="AG203" s="268">
        <f t="shared" si="118"/>
        <v>21236.360361030413</v>
      </c>
      <c r="AH203" s="266">
        <f t="shared" si="118"/>
        <v>41779.018027302584</v>
      </c>
    </row>
    <row r="204" spans="1:34" x14ac:dyDescent="0.25">
      <c r="A204" s="11" t="s">
        <v>601</v>
      </c>
      <c r="B204" s="11">
        <v>12212</v>
      </c>
      <c r="C204" s="11">
        <v>13005</v>
      </c>
      <c r="D204" s="11">
        <v>25217</v>
      </c>
      <c r="E204" s="266">
        <f t="shared" si="107"/>
        <v>12334.12</v>
      </c>
      <c r="F204" s="266">
        <f t="shared" si="107"/>
        <v>13135.05</v>
      </c>
      <c r="G204" s="266">
        <f t="shared" si="107"/>
        <v>25469.170000000002</v>
      </c>
      <c r="H204" s="266">
        <f t="shared" si="108"/>
        <v>12457.4612</v>
      </c>
      <c r="I204" s="266">
        <f t="shared" si="108"/>
        <v>13266.4005</v>
      </c>
      <c r="J204" s="266">
        <f t="shared" si="108"/>
        <v>25723.861700000001</v>
      </c>
      <c r="K204" s="266">
        <f t="shared" si="109"/>
        <v>12582.035811999998</v>
      </c>
      <c r="L204" s="266">
        <f t="shared" si="109"/>
        <v>13399.064504999998</v>
      </c>
      <c r="M204" s="266">
        <f t="shared" si="109"/>
        <v>25981.100316999997</v>
      </c>
      <c r="N204" s="266">
        <f t="shared" si="110"/>
        <v>12707.85617012</v>
      </c>
      <c r="O204" s="266">
        <f t="shared" si="110"/>
        <v>13533.055150050001</v>
      </c>
      <c r="P204" s="266">
        <f t="shared" si="110"/>
        <v>26240.911320170002</v>
      </c>
      <c r="Q204" s="266">
        <f t="shared" si="111"/>
        <v>12834.934731821199</v>
      </c>
      <c r="R204" s="266">
        <f t="shared" si="111"/>
        <v>13668.385701550498</v>
      </c>
      <c r="S204" s="266">
        <f t="shared" si="111"/>
        <v>26503.320433371697</v>
      </c>
      <c r="T204" s="266">
        <f t="shared" si="112"/>
        <v>12963.284079139414</v>
      </c>
      <c r="U204" s="266">
        <f t="shared" si="112"/>
        <v>13805.069558566007</v>
      </c>
      <c r="V204" s="266">
        <f t="shared" si="112"/>
        <v>26768.353637705419</v>
      </c>
      <c r="W204" s="266">
        <f t="shared" si="113"/>
        <v>13092.916919930803</v>
      </c>
      <c r="X204" s="266">
        <f t="shared" si="114"/>
        <v>28133.808697859284</v>
      </c>
      <c r="Y204" s="266">
        <f t="shared" si="115"/>
        <v>13943.120254151663</v>
      </c>
      <c r="Z204" s="267">
        <f t="shared" si="116"/>
        <v>13223.846089130117</v>
      </c>
      <c r="AA204" s="267">
        <f t="shared" si="116"/>
        <v>14082.551456693183</v>
      </c>
      <c r="AB204" s="267">
        <f t="shared" si="116"/>
        <v>27306.3975458233</v>
      </c>
      <c r="AC204" s="266">
        <f t="shared" si="117"/>
        <v>13356.084550021418</v>
      </c>
      <c r="AD204" s="266">
        <f t="shared" si="117"/>
        <v>14223.376971260117</v>
      </c>
      <c r="AE204" s="266">
        <f t="shared" si="117"/>
        <v>27579.461521281533</v>
      </c>
      <c r="AF204" s="266">
        <f t="shared" si="118"/>
        <v>13489.645395521633</v>
      </c>
      <c r="AG204" s="268">
        <f t="shared" si="118"/>
        <v>14365.610740972717</v>
      </c>
      <c r="AH204" s="266">
        <f t="shared" si="118"/>
        <v>27855.25613649435</v>
      </c>
    </row>
    <row r="205" spans="1:34" x14ac:dyDescent="0.25">
      <c r="A205" s="11" t="s">
        <v>602</v>
      </c>
      <c r="B205" s="11">
        <v>7569</v>
      </c>
      <c r="C205" s="11">
        <v>8679</v>
      </c>
      <c r="D205" s="11">
        <v>16248</v>
      </c>
      <c r="E205" s="266">
        <f t="shared" si="107"/>
        <v>7644.6900000000005</v>
      </c>
      <c r="F205" s="266">
        <f t="shared" si="107"/>
        <v>8765.7900000000009</v>
      </c>
      <c r="G205" s="266">
        <f t="shared" si="107"/>
        <v>16410.48</v>
      </c>
      <c r="H205" s="266">
        <f t="shared" si="108"/>
        <v>7721.1369000000004</v>
      </c>
      <c r="I205" s="266">
        <f t="shared" si="108"/>
        <v>8853.4478999999992</v>
      </c>
      <c r="J205" s="266">
        <f t="shared" si="108"/>
        <v>16574.584800000001</v>
      </c>
      <c r="K205" s="266">
        <f t="shared" si="109"/>
        <v>7798.3482689999992</v>
      </c>
      <c r="L205" s="266">
        <f t="shared" si="109"/>
        <v>8941.9823789999991</v>
      </c>
      <c r="M205" s="266">
        <f t="shared" si="109"/>
        <v>16740.330647999999</v>
      </c>
      <c r="N205" s="266">
        <f t="shared" si="110"/>
        <v>7876.3317516900006</v>
      </c>
      <c r="O205" s="266">
        <f t="shared" si="110"/>
        <v>9031.402202790001</v>
      </c>
      <c r="P205" s="266">
        <f t="shared" si="110"/>
        <v>16907.733954480002</v>
      </c>
      <c r="Q205" s="266">
        <f t="shared" si="111"/>
        <v>7955.0950692068991</v>
      </c>
      <c r="R205" s="266">
        <f t="shared" si="111"/>
        <v>9121.7162248178993</v>
      </c>
      <c r="S205" s="266">
        <f t="shared" si="111"/>
        <v>17076.811294024799</v>
      </c>
      <c r="T205" s="266">
        <f t="shared" si="112"/>
        <v>8034.6460198989698</v>
      </c>
      <c r="U205" s="266">
        <f t="shared" si="112"/>
        <v>9212.9333870660794</v>
      </c>
      <c r="V205" s="266">
        <f t="shared" si="112"/>
        <v>17247.579406965051</v>
      </c>
      <c r="W205" s="266">
        <f t="shared" si="113"/>
        <v>8114.992480097957</v>
      </c>
      <c r="X205" s="266">
        <f t="shared" si="114"/>
        <v>18127.379296618063</v>
      </c>
      <c r="Y205" s="266">
        <f t="shared" si="115"/>
        <v>9305.0627209367376</v>
      </c>
      <c r="Z205" s="267">
        <f t="shared" si="116"/>
        <v>8196.1424048989393</v>
      </c>
      <c r="AA205" s="267">
        <f t="shared" si="116"/>
        <v>9398.1133481461075</v>
      </c>
      <c r="AB205" s="267">
        <f t="shared" si="116"/>
        <v>17594.255753045047</v>
      </c>
      <c r="AC205" s="266">
        <f t="shared" si="117"/>
        <v>8278.1038289479293</v>
      </c>
      <c r="AD205" s="266">
        <f t="shared" si="117"/>
        <v>9492.0944816275696</v>
      </c>
      <c r="AE205" s="266">
        <f t="shared" si="117"/>
        <v>17770.198310575499</v>
      </c>
      <c r="AF205" s="266">
        <f t="shared" si="118"/>
        <v>8360.8848672374079</v>
      </c>
      <c r="AG205" s="268">
        <f t="shared" si="118"/>
        <v>9587.0154264438461</v>
      </c>
      <c r="AH205" s="266">
        <f t="shared" si="118"/>
        <v>17947.900293681254</v>
      </c>
    </row>
    <row r="206" spans="1:34" x14ac:dyDescent="0.25">
      <c r="A206" s="11" t="s">
        <v>603</v>
      </c>
      <c r="B206" s="11">
        <v>5547</v>
      </c>
      <c r="C206" s="11">
        <v>6323</v>
      </c>
      <c r="D206" s="11">
        <v>11870</v>
      </c>
      <c r="E206" s="266">
        <f t="shared" si="107"/>
        <v>5602.47</v>
      </c>
      <c r="F206" s="266">
        <f t="shared" si="107"/>
        <v>6386.2300000000005</v>
      </c>
      <c r="G206" s="266">
        <f t="shared" si="107"/>
        <v>11988.7</v>
      </c>
      <c r="H206" s="266">
        <f t="shared" si="108"/>
        <v>5658.4947000000002</v>
      </c>
      <c r="I206" s="266">
        <f t="shared" si="108"/>
        <v>6450.0923000000003</v>
      </c>
      <c r="J206" s="266">
        <f t="shared" si="108"/>
        <v>12108.587</v>
      </c>
      <c r="K206" s="266">
        <f t="shared" si="109"/>
        <v>5715.0796469999996</v>
      </c>
      <c r="L206" s="266">
        <f t="shared" si="109"/>
        <v>6514.5932229999999</v>
      </c>
      <c r="M206" s="266">
        <f t="shared" si="109"/>
        <v>12229.672869999999</v>
      </c>
      <c r="N206" s="266">
        <f t="shared" si="110"/>
        <v>5772.23044347</v>
      </c>
      <c r="O206" s="266">
        <f t="shared" si="110"/>
        <v>6579.7391552300005</v>
      </c>
      <c r="P206" s="266">
        <f t="shared" si="110"/>
        <v>12351.9695987</v>
      </c>
      <c r="Q206" s="266">
        <f t="shared" si="111"/>
        <v>5829.9527479046992</v>
      </c>
      <c r="R206" s="266">
        <f t="shared" si="111"/>
        <v>6645.5365467822994</v>
      </c>
      <c r="S206" s="266">
        <f t="shared" si="111"/>
        <v>12475.489294686999</v>
      </c>
      <c r="T206" s="266">
        <f t="shared" si="112"/>
        <v>5888.2522753837475</v>
      </c>
      <c r="U206" s="266">
        <f t="shared" si="112"/>
        <v>6711.9919122501242</v>
      </c>
      <c r="V206" s="266">
        <f t="shared" si="112"/>
        <v>12600.244187633871</v>
      </c>
      <c r="W206" s="266">
        <f t="shared" si="113"/>
        <v>5947.1347981375839</v>
      </c>
      <c r="X206" s="266">
        <f t="shared" si="114"/>
        <v>13242.983274917306</v>
      </c>
      <c r="Y206" s="266">
        <f t="shared" si="115"/>
        <v>6779.1118313726229</v>
      </c>
      <c r="Z206" s="267">
        <f t="shared" si="116"/>
        <v>6006.6061461189611</v>
      </c>
      <c r="AA206" s="267">
        <f t="shared" si="116"/>
        <v>6846.9029496863513</v>
      </c>
      <c r="AB206" s="267">
        <f t="shared" si="116"/>
        <v>12853.509095805312</v>
      </c>
      <c r="AC206" s="266">
        <f t="shared" si="117"/>
        <v>6066.6722075801508</v>
      </c>
      <c r="AD206" s="266">
        <f t="shared" si="117"/>
        <v>6915.3719791832154</v>
      </c>
      <c r="AE206" s="266">
        <f t="shared" si="117"/>
        <v>12982.044186763367</v>
      </c>
      <c r="AF206" s="266">
        <f t="shared" si="118"/>
        <v>6127.3389296559526</v>
      </c>
      <c r="AG206" s="268">
        <f t="shared" si="118"/>
        <v>6984.5256989750478</v>
      </c>
      <c r="AH206" s="266">
        <f t="shared" si="118"/>
        <v>13111.864628631</v>
      </c>
    </row>
    <row r="207" spans="1:34" x14ac:dyDescent="0.25">
      <c r="A207" s="11" t="s">
        <v>604</v>
      </c>
      <c r="B207" s="11">
        <v>6955</v>
      </c>
      <c r="C207" s="11">
        <v>9186</v>
      </c>
      <c r="D207" s="11">
        <v>16141</v>
      </c>
      <c r="E207" s="266">
        <f t="shared" si="107"/>
        <v>7024.55</v>
      </c>
      <c r="F207" s="266">
        <f t="shared" si="107"/>
        <v>9277.86</v>
      </c>
      <c r="G207" s="266">
        <f t="shared" si="107"/>
        <v>16302.41</v>
      </c>
      <c r="H207" s="266">
        <f t="shared" si="108"/>
        <v>7094.7955000000002</v>
      </c>
      <c r="I207" s="266">
        <f t="shared" si="108"/>
        <v>9370.6386000000002</v>
      </c>
      <c r="J207" s="266">
        <f t="shared" si="108"/>
        <v>16465.434099999999</v>
      </c>
      <c r="K207" s="266">
        <f t="shared" si="109"/>
        <v>7165.7434549999998</v>
      </c>
      <c r="L207" s="266">
        <f t="shared" si="109"/>
        <v>9464.3449860000001</v>
      </c>
      <c r="M207" s="266">
        <f t="shared" si="109"/>
        <v>16630.088441</v>
      </c>
      <c r="N207" s="266">
        <f t="shared" si="110"/>
        <v>7237.4008895500001</v>
      </c>
      <c r="O207" s="266">
        <f t="shared" si="110"/>
        <v>9558.9884358600011</v>
      </c>
      <c r="P207" s="266">
        <f t="shared" si="110"/>
        <v>16796.38932541</v>
      </c>
      <c r="Q207" s="266">
        <f t="shared" si="111"/>
        <v>7309.7748984454993</v>
      </c>
      <c r="R207" s="266">
        <f t="shared" si="111"/>
        <v>9654.5783202185994</v>
      </c>
      <c r="S207" s="266">
        <f t="shared" si="111"/>
        <v>16964.353218664099</v>
      </c>
      <c r="T207" s="266">
        <f t="shared" si="112"/>
        <v>7382.8726474299556</v>
      </c>
      <c r="U207" s="266">
        <f t="shared" si="112"/>
        <v>9751.1241034207869</v>
      </c>
      <c r="V207" s="266">
        <f t="shared" si="112"/>
        <v>17133.996750850743</v>
      </c>
      <c r="W207" s="266">
        <f t="shared" si="113"/>
        <v>7456.7013739042532</v>
      </c>
      <c r="X207" s="266">
        <f t="shared" si="114"/>
        <v>18008.002783524873</v>
      </c>
      <c r="Y207" s="266">
        <f t="shared" si="115"/>
        <v>9848.6353444549932</v>
      </c>
      <c r="Z207" s="267">
        <f t="shared" si="116"/>
        <v>7531.2683876432984</v>
      </c>
      <c r="AA207" s="267">
        <f t="shared" si="116"/>
        <v>9947.1216978995453</v>
      </c>
      <c r="AB207" s="267">
        <f t="shared" si="116"/>
        <v>17478.390085542844</v>
      </c>
      <c r="AC207" s="266">
        <f t="shared" si="117"/>
        <v>7606.5810715197313</v>
      </c>
      <c r="AD207" s="266">
        <f t="shared" si="117"/>
        <v>10046.592914878542</v>
      </c>
      <c r="AE207" s="266">
        <f t="shared" si="117"/>
        <v>17653.173986398273</v>
      </c>
      <c r="AF207" s="266">
        <f t="shared" si="118"/>
        <v>7682.6468822349289</v>
      </c>
      <c r="AG207" s="268">
        <f t="shared" si="118"/>
        <v>10147.058844027326</v>
      </c>
      <c r="AH207" s="266">
        <f t="shared" si="118"/>
        <v>17829.705726262255</v>
      </c>
    </row>
    <row r="208" spans="1:34" x14ac:dyDescent="0.25">
      <c r="A208" s="11" t="s">
        <v>605</v>
      </c>
      <c r="B208" s="11">
        <v>2761</v>
      </c>
      <c r="C208" s="11">
        <v>3079</v>
      </c>
      <c r="D208" s="11">
        <v>5840</v>
      </c>
      <c r="E208" s="266">
        <f t="shared" si="107"/>
        <v>2788.61</v>
      </c>
      <c r="F208" s="266">
        <f t="shared" si="107"/>
        <v>3109.79</v>
      </c>
      <c r="G208" s="266">
        <f t="shared" si="107"/>
        <v>5898.4</v>
      </c>
      <c r="H208" s="266">
        <f t="shared" si="108"/>
        <v>2816.4960999999998</v>
      </c>
      <c r="I208" s="266">
        <f t="shared" si="108"/>
        <v>3140.8879000000002</v>
      </c>
      <c r="J208" s="266">
        <f t="shared" si="108"/>
        <v>5957.384</v>
      </c>
      <c r="K208" s="266">
        <f t="shared" si="109"/>
        <v>2844.6610609999998</v>
      </c>
      <c r="L208" s="266">
        <f t="shared" si="109"/>
        <v>3172.2967789999998</v>
      </c>
      <c r="M208" s="266">
        <f t="shared" si="109"/>
        <v>6016.9578399999991</v>
      </c>
      <c r="N208" s="266">
        <f t="shared" si="110"/>
        <v>2873.1076716100001</v>
      </c>
      <c r="O208" s="266">
        <f t="shared" si="110"/>
        <v>3204.0197467900002</v>
      </c>
      <c r="P208" s="266">
        <f t="shared" si="110"/>
        <v>6077.1274184000004</v>
      </c>
      <c r="Q208" s="266">
        <f t="shared" si="111"/>
        <v>2901.8387483260999</v>
      </c>
      <c r="R208" s="266">
        <f t="shared" si="111"/>
        <v>3236.0599442578996</v>
      </c>
      <c r="S208" s="266">
        <f t="shared" si="111"/>
        <v>6137.8986925839999</v>
      </c>
      <c r="T208" s="266">
        <f t="shared" si="112"/>
        <v>2930.8571358093614</v>
      </c>
      <c r="U208" s="266">
        <f t="shared" si="112"/>
        <v>3268.4205437004794</v>
      </c>
      <c r="V208" s="266">
        <f t="shared" si="112"/>
        <v>6199.2776795098407</v>
      </c>
      <c r="W208" s="266">
        <f t="shared" si="113"/>
        <v>2960.165707167454</v>
      </c>
      <c r="X208" s="266">
        <f t="shared" si="114"/>
        <v>6515.5031445254481</v>
      </c>
      <c r="Y208" s="266">
        <f t="shared" si="115"/>
        <v>3301.1047491374834</v>
      </c>
      <c r="Z208" s="267">
        <f t="shared" si="116"/>
        <v>2989.7673642391296</v>
      </c>
      <c r="AA208" s="267">
        <f t="shared" si="116"/>
        <v>3334.1157966288592</v>
      </c>
      <c r="AB208" s="267">
        <f t="shared" si="116"/>
        <v>6323.8831608679884</v>
      </c>
      <c r="AC208" s="266">
        <f t="shared" si="117"/>
        <v>3019.6650378815211</v>
      </c>
      <c r="AD208" s="266">
        <f t="shared" si="117"/>
        <v>3367.4569545951476</v>
      </c>
      <c r="AE208" s="266">
        <f t="shared" si="117"/>
        <v>6387.1219924766692</v>
      </c>
      <c r="AF208" s="266">
        <f t="shared" si="118"/>
        <v>3049.8616882603365</v>
      </c>
      <c r="AG208" s="268">
        <f t="shared" si="118"/>
        <v>3401.1315241410994</v>
      </c>
      <c r="AH208" s="266">
        <f>D208*1.01^10</f>
        <v>6450.9932124014358</v>
      </c>
    </row>
    <row r="209" spans="1:45" x14ac:dyDescent="0.25">
      <c r="A209" s="263" t="s">
        <v>2</v>
      </c>
      <c r="B209" s="263">
        <v>1025596</v>
      </c>
      <c r="C209" s="263">
        <v>1097536</v>
      </c>
      <c r="D209" s="263">
        <v>2123132</v>
      </c>
      <c r="E209" s="270">
        <f t="shared" si="107"/>
        <v>1035851.96</v>
      </c>
      <c r="F209" s="270">
        <f>C209*1.01</f>
        <v>1108511.3600000001</v>
      </c>
      <c r="G209" s="270">
        <f t="shared" si="107"/>
        <v>2144363.3199999998</v>
      </c>
      <c r="H209" s="270">
        <f t="shared" si="108"/>
        <v>1046210.4796</v>
      </c>
      <c r="I209" s="270">
        <f t="shared" si="108"/>
        <v>1119596.4735999999</v>
      </c>
      <c r="J209" s="270">
        <f t="shared" si="108"/>
        <v>2165806.9531999999</v>
      </c>
      <c r="K209" s="270">
        <f t="shared" si="109"/>
        <v>1056672.584396</v>
      </c>
      <c r="L209" s="270">
        <f t="shared" si="109"/>
        <v>1130792.4383359998</v>
      </c>
      <c r="M209" s="270">
        <f t="shared" si="109"/>
        <v>2187465.0227319999</v>
      </c>
      <c r="N209" s="270">
        <f t="shared" si="110"/>
        <v>1067239.31023996</v>
      </c>
      <c r="O209" s="270">
        <f t="shared" si="110"/>
        <v>1142100.36271936</v>
      </c>
      <c r="P209" s="270">
        <f t="shared" si="110"/>
        <v>2209339.6729593202</v>
      </c>
      <c r="Q209" s="270">
        <f t="shared" si="111"/>
        <v>1077911.7033423595</v>
      </c>
      <c r="R209" s="270">
        <f t="shared" si="111"/>
        <v>1153521.3663465534</v>
      </c>
      <c r="S209" s="270">
        <f t="shared" si="111"/>
        <v>2231433.0696889129</v>
      </c>
      <c r="T209" s="270">
        <f t="shared" si="112"/>
        <v>1088690.8203757834</v>
      </c>
      <c r="U209" s="270">
        <f t="shared" si="112"/>
        <v>1165056.5800100192</v>
      </c>
      <c r="V209" s="270">
        <f t="shared" si="112"/>
        <v>2253747.4003858026</v>
      </c>
      <c r="W209" s="270">
        <f t="shared" si="113"/>
        <v>1099577.728579541</v>
      </c>
      <c r="X209" s="270">
        <f t="shared" si="114"/>
        <v>2368711.1681922269</v>
      </c>
      <c r="Y209" s="270">
        <f t="shared" si="115"/>
        <v>1176707.1458101191</v>
      </c>
      <c r="Z209" s="271">
        <f t="shared" si="116"/>
        <v>1110573.5058653366</v>
      </c>
      <c r="AA209" s="271">
        <f t="shared" si="116"/>
        <v>1188474.2172682206</v>
      </c>
      <c r="AB209" s="271">
        <f t="shared" si="116"/>
        <v>2299047.723133557</v>
      </c>
      <c r="AC209" s="270">
        <f t="shared" si="117"/>
        <v>1121679.24092399</v>
      </c>
      <c r="AD209" s="270">
        <f t="shared" si="117"/>
        <v>1200358.959440903</v>
      </c>
      <c r="AE209" s="270">
        <f t="shared" si="117"/>
        <v>2322038.2003648928</v>
      </c>
      <c r="AF209" s="270">
        <f t="shared" si="118"/>
        <v>1132896.0333332298</v>
      </c>
      <c r="AG209" s="272">
        <f t="shared" si="118"/>
        <v>1212362.5490353119</v>
      </c>
      <c r="AH209" s="270">
        <f t="shared" si="118"/>
        <v>2345258.582368542</v>
      </c>
    </row>
    <row r="210" spans="1:45" x14ac:dyDescent="0.25">
      <c r="A210" s="279"/>
      <c r="B210" s="279"/>
      <c r="C210" s="279"/>
      <c r="D210" s="279"/>
      <c r="E210" s="280"/>
      <c r="F210" s="280"/>
      <c r="G210" s="280"/>
      <c r="H210" s="280"/>
      <c r="I210" s="280"/>
      <c r="J210" s="280"/>
      <c r="K210" s="280"/>
      <c r="L210" s="280"/>
      <c r="M210" s="280"/>
      <c r="N210" s="280"/>
      <c r="O210" s="280"/>
      <c r="P210" s="280"/>
      <c r="Q210" s="280"/>
      <c r="R210" s="280"/>
      <c r="S210" s="280"/>
      <c r="T210" s="280"/>
      <c r="U210" s="280"/>
      <c r="V210" s="280"/>
      <c r="W210" s="280"/>
      <c r="X210" s="280"/>
      <c r="Y210" s="280"/>
      <c r="Z210" s="281"/>
      <c r="AA210" s="282"/>
      <c r="AB210" s="282"/>
      <c r="AC210" s="280"/>
      <c r="AD210" s="280"/>
      <c r="AE210" s="280"/>
      <c r="AF210" s="280"/>
      <c r="AG210" s="280"/>
      <c r="AH210" s="280"/>
    </row>
    <row r="211" spans="1:45" x14ac:dyDescent="0.25">
      <c r="A211" s="263" t="s">
        <v>617</v>
      </c>
      <c r="B211" s="273"/>
      <c r="C211" s="283">
        <v>2012</v>
      </c>
      <c r="D211" s="275"/>
      <c r="E211" s="351">
        <v>2013</v>
      </c>
      <c r="F211" s="352"/>
      <c r="G211" s="353"/>
      <c r="H211" s="351">
        <v>2014</v>
      </c>
      <c r="I211" s="352"/>
      <c r="J211" s="353"/>
      <c r="K211" s="351">
        <v>2015</v>
      </c>
      <c r="L211" s="352"/>
      <c r="M211" s="353"/>
      <c r="N211" s="351">
        <v>2016</v>
      </c>
      <c r="O211" s="352"/>
      <c r="P211" s="353"/>
      <c r="Q211" s="351">
        <v>2017</v>
      </c>
      <c r="R211" s="352"/>
      <c r="S211" s="353"/>
      <c r="T211" s="351">
        <v>2018</v>
      </c>
      <c r="U211" s="352"/>
      <c r="V211" s="353"/>
      <c r="W211" s="351">
        <v>2019</v>
      </c>
      <c r="X211" s="352"/>
      <c r="Y211" s="353"/>
      <c r="Z211" s="354">
        <v>2020</v>
      </c>
      <c r="AA211" s="355"/>
      <c r="AB211" s="356"/>
      <c r="AC211" s="351">
        <v>2021</v>
      </c>
      <c r="AD211" s="352"/>
      <c r="AE211" s="353"/>
      <c r="AF211" s="351">
        <v>2022</v>
      </c>
      <c r="AG211" s="352"/>
      <c r="AH211" s="353"/>
    </row>
    <row r="212" spans="1:45" x14ac:dyDescent="0.25">
      <c r="A212" s="263" t="s">
        <v>607</v>
      </c>
      <c r="B212" s="264" t="s">
        <v>582</v>
      </c>
      <c r="C212" s="264" t="s">
        <v>583</v>
      </c>
      <c r="D212" s="264" t="s">
        <v>2</v>
      </c>
      <c r="E212" s="264" t="s">
        <v>582</v>
      </c>
      <c r="F212" s="264" t="s">
        <v>583</v>
      </c>
      <c r="G212" s="264" t="s">
        <v>2</v>
      </c>
      <c r="H212" s="264" t="s">
        <v>582</v>
      </c>
      <c r="I212" s="264" t="s">
        <v>583</v>
      </c>
      <c r="J212" s="264" t="s">
        <v>2</v>
      </c>
      <c r="K212" s="264" t="s">
        <v>582</v>
      </c>
      <c r="L212" s="264" t="s">
        <v>583</v>
      </c>
      <c r="M212" s="264" t="s">
        <v>2</v>
      </c>
      <c r="N212" s="264" t="s">
        <v>582</v>
      </c>
      <c r="O212" s="264" t="s">
        <v>583</v>
      </c>
      <c r="P212" s="264" t="s">
        <v>2</v>
      </c>
      <c r="Q212" s="264" t="s">
        <v>582</v>
      </c>
      <c r="R212" s="264" t="s">
        <v>583</v>
      </c>
      <c r="S212" s="264" t="s">
        <v>2</v>
      </c>
      <c r="T212" s="264" t="s">
        <v>582</v>
      </c>
      <c r="U212" s="264" t="s">
        <v>583</v>
      </c>
      <c r="V212" s="264" t="s">
        <v>2</v>
      </c>
      <c r="W212" s="264" t="s">
        <v>582</v>
      </c>
      <c r="X212" s="264" t="s">
        <v>583</v>
      </c>
      <c r="Y212" s="264" t="s">
        <v>2</v>
      </c>
      <c r="Z212" s="265" t="s">
        <v>582</v>
      </c>
      <c r="AA212" s="265" t="s">
        <v>583</v>
      </c>
      <c r="AB212" s="265" t="s">
        <v>2</v>
      </c>
      <c r="AC212" s="264" t="s">
        <v>582</v>
      </c>
      <c r="AD212" s="264" t="s">
        <v>583</v>
      </c>
      <c r="AE212" s="264" t="s">
        <v>2</v>
      </c>
      <c r="AF212" s="264" t="s">
        <v>582</v>
      </c>
      <c r="AG212" s="264" t="s">
        <v>583</v>
      </c>
      <c r="AH212" s="264" t="s">
        <v>2</v>
      </c>
      <c r="AI212" t="s">
        <v>3</v>
      </c>
      <c r="AJ212" t="s">
        <v>4</v>
      </c>
      <c r="AK212" t="s">
        <v>584</v>
      </c>
      <c r="AL212" t="s">
        <v>631</v>
      </c>
      <c r="AM212" t="s">
        <v>632</v>
      </c>
      <c r="AN212" t="s">
        <v>633</v>
      </c>
      <c r="AO212" t="s">
        <v>585</v>
      </c>
      <c r="AP212" t="s">
        <v>586</v>
      </c>
      <c r="AQ212" t="s">
        <v>587</v>
      </c>
      <c r="AR212" t="s">
        <v>624</v>
      </c>
      <c r="AS212" t="s">
        <v>588</v>
      </c>
    </row>
    <row r="213" spans="1:45" x14ac:dyDescent="0.25">
      <c r="A213" s="11" t="s">
        <v>589</v>
      </c>
      <c r="B213" s="11">
        <v>986596</v>
      </c>
      <c r="C213" s="11">
        <v>991878</v>
      </c>
      <c r="D213" s="11">
        <v>1978474</v>
      </c>
      <c r="E213" s="266">
        <f>B213*1.01</f>
        <v>996461.96</v>
      </c>
      <c r="F213" s="266">
        <f>C213*1.01</f>
        <v>1001796.78</v>
      </c>
      <c r="G213" s="266">
        <f>D213*1.01</f>
        <v>1998258.74</v>
      </c>
      <c r="H213" s="266">
        <f>B213*1.01^2</f>
        <v>1006426.5796000001</v>
      </c>
      <c r="I213" s="266">
        <f>C213*1.01^2</f>
        <v>1011814.7478</v>
      </c>
      <c r="J213" s="266">
        <f>D213*1.01^2</f>
        <v>2018241.3274000001</v>
      </c>
      <c r="K213" s="266">
        <f>B213*1.01^3</f>
        <v>1016490.845396</v>
      </c>
      <c r="L213" s="266">
        <f>C213*1.01^3</f>
        <v>1021932.8952779999</v>
      </c>
      <c r="M213" s="266">
        <f>D213*1.01^3</f>
        <v>2038423.7406739998</v>
      </c>
      <c r="N213" s="266">
        <f>B213*1.01^4</f>
        <v>1026655.75384996</v>
      </c>
      <c r="O213" s="266">
        <f>C213*1.01^4</f>
        <v>1032152.22423078</v>
      </c>
      <c r="P213" s="266">
        <f>D213*1.01^4</f>
        <v>2058807.97808074</v>
      </c>
      <c r="Q213" s="266">
        <f>B213*1.01^5</f>
        <v>1036922.3113884595</v>
      </c>
      <c r="R213" s="266">
        <f>C213*1.01^5</f>
        <v>1042473.7464730877</v>
      </c>
      <c r="S213" s="266">
        <f>D213*1.01^5</f>
        <v>2079396.0578615472</v>
      </c>
      <c r="T213" s="266">
        <f>B213*1.01^6</f>
        <v>1047291.5345023443</v>
      </c>
      <c r="U213" s="266">
        <f>C213*1.01^6</f>
        <v>1052898.4839378188</v>
      </c>
      <c r="V213" s="266">
        <f>D213*1.01^6</f>
        <v>2100190.0184401632</v>
      </c>
      <c r="W213" s="266">
        <f>B213*1.01^7</f>
        <v>1057764.4498473674</v>
      </c>
      <c r="X213" s="266">
        <f>P213*1.01^7</f>
        <v>2207320.816500315</v>
      </c>
      <c r="Y213" s="266">
        <f>C213*1.01^7</f>
        <v>1063427.4687771967</v>
      </c>
      <c r="Z213" s="267">
        <f>B213*1.01^8</f>
        <v>1068342.0943458416</v>
      </c>
      <c r="AA213" s="267">
        <f>C213*1.01^8</f>
        <v>1074061.7434649689</v>
      </c>
      <c r="AB213" s="267">
        <f>D213*1.01^8</f>
        <v>2142403.8378108102</v>
      </c>
      <c r="AC213" s="266">
        <f>B213*1.01^9</f>
        <v>1079025.5152892999</v>
      </c>
      <c r="AD213" s="266">
        <f>C213*1.01^9</f>
        <v>1084802.3608996188</v>
      </c>
      <c r="AE213" s="266">
        <f>D213*1.01^9</f>
        <v>2163827.8761889185</v>
      </c>
      <c r="AF213" s="266">
        <f>B213*1.01^10</f>
        <v>1089815.7704421929</v>
      </c>
      <c r="AG213" s="268">
        <f>C213*1.01^10</f>
        <v>1095650.3845086149</v>
      </c>
      <c r="AH213" s="266">
        <f>D213*1.01^10</f>
        <v>2185466.1549508078</v>
      </c>
      <c r="AI213" s="6">
        <f>Z230/AB230</f>
        <v>0.48085323298961147</v>
      </c>
      <c r="AJ213" s="6">
        <f>AA230/AB230</f>
        <v>0.51914676701038853</v>
      </c>
      <c r="AK213" s="6">
        <f>AB213/AB230</f>
        <v>0.15147674734380098</v>
      </c>
      <c r="AL213" s="6">
        <f>SUM(AB213:AB215)/AB230</f>
        <v>0.41131480711745638</v>
      </c>
      <c r="AM213" s="6">
        <f>SUM(Z213:Z215)/Z230</f>
        <v>0.42689504833900399</v>
      </c>
      <c r="AN213" s="6">
        <f>SUM(AA213:AA215)/AA230</f>
        <v>0.39688380255725808</v>
      </c>
      <c r="AO213" s="6">
        <f>SUM(AB213:AB217)/AB230</f>
        <v>0.61096638687952953</v>
      </c>
      <c r="AP213" s="6">
        <f>SUM(AA216:AA222)/AA230</f>
        <v>0.48245653103661867</v>
      </c>
      <c r="AQ213" s="6">
        <f>SUM(Z216:Z222)/Z230</f>
        <v>0.47739262505972813</v>
      </c>
      <c r="AR213" s="6">
        <f>SUM(AB216:AB222)/AB230</f>
        <v>0.4800215354760754</v>
      </c>
      <c r="AS213" s="6">
        <f>SUM(AB226:AB228)/AB230</f>
        <v>4.0708542275353816E-2</v>
      </c>
    </row>
    <row r="214" spans="1:45" x14ac:dyDescent="0.25">
      <c r="A214" s="269" t="s">
        <v>590</v>
      </c>
      <c r="B214" s="11">
        <v>845062</v>
      </c>
      <c r="C214" s="11">
        <v>853098</v>
      </c>
      <c r="D214" s="11">
        <v>1698160</v>
      </c>
      <c r="E214" s="266">
        <f t="shared" ref="E214:G230" si="119">B214*1.01</f>
        <v>853512.62</v>
      </c>
      <c r="F214" s="266">
        <f t="shared" si="119"/>
        <v>861628.98</v>
      </c>
      <c r="G214" s="266">
        <f t="shared" si="119"/>
        <v>1715141.6</v>
      </c>
      <c r="H214" s="266">
        <f t="shared" ref="H214:J230" si="120">B214*1.01^2</f>
        <v>862047.74620000005</v>
      </c>
      <c r="I214" s="266">
        <f t="shared" si="120"/>
        <v>870245.26980000001</v>
      </c>
      <c r="J214" s="266">
        <f t="shared" si="120"/>
        <v>1732293.0160000001</v>
      </c>
      <c r="K214" s="266">
        <f t="shared" ref="K214:M230" si="121">B214*1.01^3</f>
        <v>870668.22366199992</v>
      </c>
      <c r="L214" s="266">
        <f t="shared" si="121"/>
        <v>878947.7224979999</v>
      </c>
      <c r="M214" s="266">
        <f t="shared" si="121"/>
        <v>1749615.9461599998</v>
      </c>
      <c r="N214" s="266">
        <f t="shared" ref="N214:P230" si="122">B214*1.01^4</f>
        <v>879374.90589862003</v>
      </c>
      <c r="O214" s="266">
        <f t="shared" si="122"/>
        <v>887737.19972298003</v>
      </c>
      <c r="P214" s="266">
        <f t="shared" si="122"/>
        <v>1767112.1056216001</v>
      </c>
      <c r="Q214" s="266">
        <f t="shared" ref="Q214:S230" si="123">B214*1.01^5</f>
        <v>888168.65495760611</v>
      </c>
      <c r="R214" s="266">
        <f t="shared" si="123"/>
        <v>896614.57172020979</v>
      </c>
      <c r="S214" s="266">
        <f t="shared" si="123"/>
        <v>1784783.2266778159</v>
      </c>
      <c r="T214" s="266">
        <f t="shared" ref="T214:V230" si="124">B214*1.01^6</f>
        <v>897050.34150718234</v>
      </c>
      <c r="U214" s="266">
        <f t="shared" si="124"/>
        <v>905580.71743741201</v>
      </c>
      <c r="V214" s="266">
        <f t="shared" si="124"/>
        <v>1802631.0589445943</v>
      </c>
      <c r="W214" s="266">
        <f t="shared" ref="W214:W230" si="125">B214*1.01^7</f>
        <v>906020.84492225398</v>
      </c>
      <c r="X214" s="266">
        <f t="shared" ref="X214:X230" si="126">P214*1.01^7</f>
        <v>1894583.3595731738</v>
      </c>
      <c r="Y214" s="266">
        <f t="shared" ref="Y214:Y230" si="127">C214*1.01^7</f>
        <v>914636.52461178589</v>
      </c>
      <c r="Z214" s="267">
        <f t="shared" ref="Z214:AB229" si="128">B214*1.01^8</f>
        <v>915081.05337147671</v>
      </c>
      <c r="AA214" s="267">
        <f t="shared" si="128"/>
        <v>923782.88985790394</v>
      </c>
      <c r="AB214" s="267">
        <f t="shared" si="128"/>
        <v>1838863.9432293808</v>
      </c>
      <c r="AC214" s="266">
        <f t="shared" ref="AC214:AE230" si="129">B214*1.01^9</f>
        <v>924231.86390519154</v>
      </c>
      <c r="AD214" s="266">
        <f t="shared" si="129"/>
        <v>933020.71875648305</v>
      </c>
      <c r="AE214" s="266">
        <f t="shared" si="129"/>
        <v>1857252.5826616746</v>
      </c>
      <c r="AF214" s="266">
        <f t="shared" ref="AF214:AH230" si="130">B214*1.01^10</f>
        <v>933474.18254424352</v>
      </c>
      <c r="AG214" s="268">
        <f t="shared" si="130"/>
        <v>942350.92594404798</v>
      </c>
      <c r="AH214" s="266">
        <f t="shared" si="130"/>
        <v>1875825.1084882915</v>
      </c>
    </row>
    <row r="215" spans="1:45" x14ac:dyDescent="0.25">
      <c r="A215" s="269" t="s">
        <v>618</v>
      </c>
      <c r="B215" s="11">
        <v>849473</v>
      </c>
      <c r="C215" s="11">
        <v>846174</v>
      </c>
      <c r="D215" s="11">
        <v>1695647</v>
      </c>
      <c r="E215" s="266">
        <f t="shared" si="119"/>
        <v>857967.73</v>
      </c>
      <c r="F215" s="266">
        <f t="shared" si="119"/>
        <v>854635.74</v>
      </c>
      <c r="G215" s="266">
        <f t="shared" si="119"/>
        <v>1712603.47</v>
      </c>
      <c r="H215" s="266">
        <f t="shared" si="120"/>
        <v>866547.40729999996</v>
      </c>
      <c r="I215" s="266">
        <f t="shared" si="120"/>
        <v>863182.09739999997</v>
      </c>
      <c r="J215" s="266">
        <f t="shared" si="120"/>
        <v>1729729.5046999999</v>
      </c>
      <c r="K215" s="266">
        <f t="shared" si="121"/>
        <v>875212.88137299998</v>
      </c>
      <c r="L215" s="266">
        <f t="shared" si="121"/>
        <v>871813.91837399988</v>
      </c>
      <c r="M215" s="266">
        <f t="shared" si="121"/>
        <v>1747026.7997469997</v>
      </c>
      <c r="N215" s="266">
        <f t="shared" si="122"/>
        <v>883965.01018673007</v>
      </c>
      <c r="O215" s="266">
        <f t="shared" si="122"/>
        <v>880532.05755774002</v>
      </c>
      <c r="P215" s="266">
        <f t="shared" si="122"/>
        <v>1764497.06774447</v>
      </c>
      <c r="Q215" s="266">
        <f t="shared" si="123"/>
        <v>892804.66028859722</v>
      </c>
      <c r="R215" s="266">
        <f t="shared" si="123"/>
        <v>889337.37813331734</v>
      </c>
      <c r="S215" s="266">
        <f t="shared" si="123"/>
        <v>1782142.0384219147</v>
      </c>
      <c r="T215" s="266">
        <f t="shared" si="124"/>
        <v>901732.70689148339</v>
      </c>
      <c r="U215" s="266">
        <f t="shared" si="124"/>
        <v>898230.75191465067</v>
      </c>
      <c r="V215" s="266">
        <f t="shared" si="124"/>
        <v>1799963.4588061341</v>
      </c>
      <c r="W215" s="266">
        <f t="shared" si="125"/>
        <v>910750.03396039794</v>
      </c>
      <c r="X215" s="266">
        <f t="shared" si="126"/>
        <v>1891779.6850180037</v>
      </c>
      <c r="Y215" s="266">
        <f t="shared" si="127"/>
        <v>907213.05943379691</v>
      </c>
      <c r="Z215" s="267">
        <f t="shared" si="128"/>
        <v>919857.53430000215</v>
      </c>
      <c r="AA215" s="267">
        <f t="shared" si="128"/>
        <v>916285.1900281352</v>
      </c>
      <c r="AB215" s="267">
        <f t="shared" si="128"/>
        <v>1836142.7243281375</v>
      </c>
      <c r="AC215" s="266">
        <f t="shared" si="129"/>
        <v>929056.10964300227</v>
      </c>
      <c r="AD215" s="266">
        <f t="shared" si="129"/>
        <v>925448.04192841658</v>
      </c>
      <c r="AE215" s="266">
        <f t="shared" si="129"/>
        <v>1854504.1515714189</v>
      </c>
      <c r="AF215" s="266">
        <f t="shared" si="130"/>
        <v>938346.67073943233</v>
      </c>
      <c r="AG215" s="268">
        <f t="shared" si="130"/>
        <v>934702.52234770078</v>
      </c>
      <c r="AH215" s="266">
        <f t="shared" si="130"/>
        <v>1873049.1930871331</v>
      </c>
    </row>
    <row r="216" spans="1:45" x14ac:dyDescent="0.25">
      <c r="A216" s="11" t="s">
        <v>592</v>
      </c>
      <c r="B216" s="11">
        <v>699230</v>
      </c>
      <c r="C216" s="11">
        <v>712803</v>
      </c>
      <c r="D216" s="11">
        <v>1412033</v>
      </c>
      <c r="E216" s="266">
        <f t="shared" si="119"/>
        <v>706222.3</v>
      </c>
      <c r="F216" s="266">
        <f t="shared" si="119"/>
        <v>719931.03</v>
      </c>
      <c r="G216" s="266">
        <f t="shared" si="119"/>
        <v>1426153.33</v>
      </c>
      <c r="H216" s="266">
        <f t="shared" si="120"/>
        <v>713284.52300000004</v>
      </c>
      <c r="I216" s="266">
        <f t="shared" si="120"/>
        <v>727130.34030000004</v>
      </c>
      <c r="J216" s="266">
        <f t="shared" si="120"/>
        <v>1440414.8633000001</v>
      </c>
      <c r="K216" s="266">
        <f t="shared" si="121"/>
        <v>720417.36822999991</v>
      </c>
      <c r="L216" s="266">
        <f t="shared" si="121"/>
        <v>734401.64370299992</v>
      </c>
      <c r="M216" s="266">
        <f t="shared" si="121"/>
        <v>1454819.0119329998</v>
      </c>
      <c r="N216" s="266">
        <f t="shared" si="122"/>
        <v>727621.54191230005</v>
      </c>
      <c r="O216" s="266">
        <f t="shared" si="122"/>
        <v>741745.66014002997</v>
      </c>
      <c r="P216" s="266">
        <f t="shared" si="122"/>
        <v>1469367.2020523301</v>
      </c>
      <c r="Q216" s="266">
        <f t="shared" si="123"/>
        <v>734897.757331423</v>
      </c>
      <c r="R216" s="266">
        <f t="shared" si="123"/>
        <v>749163.11674143025</v>
      </c>
      <c r="S216" s="266">
        <f t="shared" si="123"/>
        <v>1484060.8740728532</v>
      </c>
      <c r="T216" s="266">
        <f t="shared" si="124"/>
        <v>742246.73490473733</v>
      </c>
      <c r="U216" s="266">
        <f t="shared" si="124"/>
        <v>756654.74790884473</v>
      </c>
      <c r="V216" s="266">
        <f t="shared" si="124"/>
        <v>1498901.4828135821</v>
      </c>
      <c r="W216" s="266">
        <f t="shared" si="125"/>
        <v>749669.20225378452</v>
      </c>
      <c r="X216" s="266">
        <f t="shared" si="126"/>
        <v>1575360.5225468669</v>
      </c>
      <c r="Y216" s="266">
        <f t="shared" si="127"/>
        <v>764221.29538793291</v>
      </c>
      <c r="Z216" s="267">
        <f t="shared" si="128"/>
        <v>757165.89427632256</v>
      </c>
      <c r="AA216" s="267">
        <f t="shared" si="128"/>
        <v>771863.50834181253</v>
      </c>
      <c r="AB216" s="267">
        <f t="shared" si="128"/>
        <v>1529029.4026181351</v>
      </c>
      <c r="AC216" s="266">
        <f t="shared" si="129"/>
        <v>764737.55321908579</v>
      </c>
      <c r="AD216" s="266">
        <f t="shared" si="129"/>
        <v>779582.14342523064</v>
      </c>
      <c r="AE216" s="266">
        <f t="shared" si="129"/>
        <v>1544319.6966443164</v>
      </c>
      <c r="AF216" s="266">
        <f t="shared" si="130"/>
        <v>772384.92875127669</v>
      </c>
      <c r="AG216" s="268">
        <f t="shared" si="130"/>
        <v>787377.96485948295</v>
      </c>
      <c r="AH216" s="266">
        <f t="shared" si="130"/>
        <v>1559762.8936107596</v>
      </c>
    </row>
    <row r="217" spans="1:45" x14ac:dyDescent="0.25">
      <c r="A217" s="11" t="s">
        <v>593</v>
      </c>
      <c r="B217" s="11">
        <v>543466</v>
      </c>
      <c r="C217" s="11">
        <v>652198</v>
      </c>
      <c r="D217" s="11">
        <v>1195664</v>
      </c>
      <c r="E217" s="266">
        <f t="shared" si="119"/>
        <v>548900.66</v>
      </c>
      <c r="F217" s="266">
        <f t="shared" si="119"/>
        <v>658719.98</v>
      </c>
      <c r="G217" s="266">
        <f t="shared" si="119"/>
        <v>1207620.6399999999</v>
      </c>
      <c r="H217" s="266">
        <f t="shared" si="120"/>
        <v>554389.6666</v>
      </c>
      <c r="I217" s="266">
        <f t="shared" si="120"/>
        <v>665307.17980000004</v>
      </c>
      <c r="J217" s="266">
        <f t="shared" si="120"/>
        <v>1219696.8463999999</v>
      </c>
      <c r="K217" s="266">
        <f t="shared" si="121"/>
        <v>559933.5632659999</v>
      </c>
      <c r="L217" s="266">
        <f t="shared" si="121"/>
        <v>671960.25159799994</v>
      </c>
      <c r="M217" s="266">
        <f t="shared" si="121"/>
        <v>1231893.8148639998</v>
      </c>
      <c r="N217" s="266">
        <f t="shared" si="122"/>
        <v>565532.89889865997</v>
      </c>
      <c r="O217" s="266">
        <f t="shared" si="122"/>
        <v>678679.85411397996</v>
      </c>
      <c r="P217" s="266">
        <f t="shared" si="122"/>
        <v>1244212.7530126399</v>
      </c>
      <c r="Q217" s="266">
        <f t="shared" si="123"/>
        <v>571188.22788764653</v>
      </c>
      <c r="R217" s="266">
        <f t="shared" si="123"/>
        <v>685466.65265511977</v>
      </c>
      <c r="S217" s="266">
        <f t="shared" si="123"/>
        <v>1256654.8805427663</v>
      </c>
      <c r="T217" s="266">
        <f t="shared" si="124"/>
        <v>576900.11016652314</v>
      </c>
      <c r="U217" s="266">
        <f t="shared" si="124"/>
        <v>692321.31918167113</v>
      </c>
      <c r="V217" s="266">
        <f t="shared" si="124"/>
        <v>1269221.4293481943</v>
      </c>
      <c r="W217" s="266">
        <f t="shared" si="125"/>
        <v>582669.11126818822</v>
      </c>
      <c r="X217" s="266">
        <f t="shared" si="126"/>
        <v>1333964.4780472387</v>
      </c>
      <c r="Y217" s="266">
        <f t="shared" si="127"/>
        <v>699244.5323734876</v>
      </c>
      <c r="Z217" s="267">
        <f t="shared" si="128"/>
        <v>588495.80238087021</v>
      </c>
      <c r="AA217" s="267">
        <f t="shared" si="128"/>
        <v>706236.97769722273</v>
      </c>
      <c r="AB217" s="267">
        <f t="shared" si="128"/>
        <v>1294732.7800780928</v>
      </c>
      <c r="AC217" s="266">
        <f t="shared" si="129"/>
        <v>594380.76040467899</v>
      </c>
      <c r="AD217" s="266">
        <f t="shared" si="129"/>
        <v>713299.34747419495</v>
      </c>
      <c r="AE217" s="266">
        <f t="shared" si="129"/>
        <v>1307680.1078788741</v>
      </c>
      <c r="AF217" s="266">
        <f t="shared" si="130"/>
        <v>600324.56800872576</v>
      </c>
      <c r="AG217" s="268">
        <f t="shared" si="130"/>
        <v>720432.34094893688</v>
      </c>
      <c r="AH217" s="266">
        <f t="shared" si="130"/>
        <v>1320756.9089576628</v>
      </c>
    </row>
    <row r="218" spans="1:45" x14ac:dyDescent="0.25">
      <c r="A218" s="11" t="s">
        <v>594</v>
      </c>
      <c r="B218" s="11">
        <v>519834</v>
      </c>
      <c r="C218" s="11">
        <v>611857</v>
      </c>
      <c r="D218" s="11">
        <v>1131691</v>
      </c>
      <c r="E218" s="266">
        <f t="shared" si="119"/>
        <v>525032.34</v>
      </c>
      <c r="F218" s="266">
        <f t="shared" si="119"/>
        <v>617975.56999999995</v>
      </c>
      <c r="G218" s="266">
        <f t="shared" si="119"/>
        <v>1143007.9099999999</v>
      </c>
      <c r="H218" s="266">
        <f t="shared" si="120"/>
        <v>530282.66339999996</v>
      </c>
      <c r="I218" s="266">
        <f t="shared" si="120"/>
        <v>624155.32570000004</v>
      </c>
      <c r="J218" s="266">
        <f t="shared" si="120"/>
        <v>1154437.9891000001</v>
      </c>
      <c r="K218" s="266">
        <f t="shared" si="121"/>
        <v>535585.4900339999</v>
      </c>
      <c r="L218" s="266">
        <f t="shared" si="121"/>
        <v>630396.87895699998</v>
      </c>
      <c r="M218" s="266">
        <f t="shared" si="121"/>
        <v>1165982.3689909999</v>
      </c>
      <c r="N218" s="266">
        <f t="shared" si="122"/>
        <v>540941.34493433998</v>
      </c>
      <c r="O218" s="266">
        <f t="shared" si="122"/>
        <v>636700.84774657001</v>
      </c>
      <c r="P218" s="266">
        <f t="shared" si="122"/>
        <v>1177642.19268091</v>
      </c>
      <c r="Q218" s="266">
        <f t="shared" si="123"/>
        <v>546350.75838368339</v>
      </c>
      <c r="R218" s="266">
        <f t="shared" si="123"/>
        <v>643067.85622403561</v>
      </c>
      <c r="S218" s="266">
        <f t="shared" si="123"/>
        <v>1189418.614607719</v>
      </c>
      <c r="T218" s="266">
        <f t="shared" si="124"/>
        <v>551814.2659675203</v>
      </c>
      <c r="U218" s="266">
        <f t="shared" si="124"/>
        <v>649498.53478627617</v>
      </c>
      <c r="V218" s="266">
        <f t="shared" si="124"/>
        <v>1201312.8007537965</v>
      </c>
      <c r="W218" s="266">
        <f t="shared" si="125"/>
        <v>557332.4086271954</v>
      </c>
      <c r="X218" s="266">
        <f t="shared" si="126"/>
        <v>1262591.8269060187</v>
      </c>
      <c r="Y218" s="266">
        <f t="shared" si="127"/>
        <v>655993.52013413876</v>
      </c>
      <c r="Z218" s="267">
        <f t="shared" si="128"/>
        <v>562905.73271346744</v>
      </c>
      <c r="AA218" s="267">
        <f t="shared" si="128"/>
        <v>662553.45533548028</v>
      </c>
      <c r="AB218" s="267">
        <f t="shared" si="128"/>
        <v>1225459.1880489478</v>
      </c>
      <c r="AC218" s="266">
        <f t="shared" si="129"/>
        <v>568534.79004060221</v>
      </c>
      <c r="AD218" s="266">
        <f t="shared" si="129"/>
        <v>669178.98988883512</v>
      </c>
      <c r="AE218" s="266">
        <f t="shared" si="129"/>
        <v>1237713.7799294372</v>
      </c>
      <c r="AF218" s="266">
        <f t="shared" si="130"/>
        <v>574220.1379410082</v>
      </c>
      <c r="AG218" s="268">
        <f t="shared" si="130"/>
        <v>675870.77978772356</v>
      </c>
      <c r="AH218" s="266">
        <f t="shared" si="130"/>
        <v>1250090.9177287316</v>
      </c>
    </row>
    <row r="219" spans="1:45" x14ac:dyDescent="0.25">
      <c r="A219" s="11" t="s">
        <v>595</v>
      </c>
      <c r="B219" s="11">
        <v>443539</v>
      </c>
      <c r="C219" s="11">
        <v>477208</v>
      </c>
      <c r="D219" s="11">
        <v>920747</v>
      </c>
      <c r="E219" s="266">
        <f t="shared" si="119"/>
        <v>447974.39</v>
      </c>
      <c r="F219" s="266">
        <f t="shared" si="119"/>
        <v>481980.08</v>
      </c>
      <c r="G219" s="266">
        <f t="shared" si="119"/>
        <v>929954.47</v>
      </c>
      <c r="H219" s="266">
        <f t="shared" si="120"/>
        <v>452454.13390000002</v>
      </c>
      <c r="I219" s="266">
        <f t="shared" si="120"/>
        <v>486799.88079999998</v>
      </c>
      <c r="J219" s="266">
        <f t="shared" si="120"/>
        <v>939254.01470000006</v>
      </c>
      <c r="K219" s="266">
        <f t="shared" si="121"/>
        <v>456978.67523899995</v>
      </c>
      <c r="L219" s="266">
        <f t="shared" si="121"/>
        <v>491667.87960799993</v>
      </c>
      <c r="M219" s="266">
        <f t="shared" si="121"/>
        <v>948646.55484699993</v>
      </c>
      <c r="N219" s="266">
        <f t="shared" si="122"/>
        <v>461548.46199139004</v>
      </c>
      <c r="O219" s="266">
        <f t="shared" si="122"/>
        <v>496584.55840407999</v>
      </c>
      <c r="P219" s="266">
        <f t="shared" si="122"/>
        <v>958133.02039546997</v>
      </c>
      <c r="Q219" s="266">
        <f t="shared" si="123"/>
        <v>466163.94661130389</v>
      </c>
      <c r="R219" s="266">
        <f t="shared" si="123"/>
        <v>501550.40398812079</v>
      </c>
      <c r="S219" s="266">
        <f t="shared" si="123"/>
        <v>967714.35059942468</v>
      </c>
      <c r="T219" s="266">
        <f t="shared" si="124"/>
        <v>470825.58607741701</v>
      </c>
      <c r="U219" s="266">
        <f t="shared" si="124"/>
        <v>506565.90802800207</v>
      </c>
      <c r="V219" s="266">
        <f t="shared" si="124"/>
        <v>977391.49410541903</v>
      </c>
      <c r="W219" s="266">
        <f t="shared" si="125"/>
        <v>475533.84193819104</v>
      </c>
      <c r="X219" s="266">
        <f t="shared" si="126"/>
        <v>1027248.28318705</v>
      </c>
      <c r="Y219" s="266">
        <f t="shared" si="127"/>
        <v>511631.56710828195</v>
      </c>
      <c r="Z219" s="267">
        <f t="shared" si="128"/>
        <v>480289.18035757309</v>
      </c>
      <c r="AA219" s="267">
        <f t="shared" si="128"/>
        <v>516747.88277936488</v>
      </c>
      <c r="AB219" s="267">
        <f t="shared" si="128"/>
        <v>997037.06313693803</v>
      </c>
      <c r="AC219" s="266">
        <f t="shared" si="129"/>
        <v>485092.07216114883</v>
      </c>
      <c r="AD219" s="266">
        <f t="shared" si="129"/>
        <v>521915.36160715861</v>
      </c>
      <c r="AE219" s="266">
        <f t="shared" si="129"/>
        <v>1007007.4337683074</v>
      </c>
      <c r="AF219" s="266">
        <f t="shared" si="130"/>
        <v>489942.99288276036</v>
      </c>
      <c r="AG219" s="268">
        <f t="shared" si="130"/>
        <v>527134.51522323024</v>
      </c>
      <c r="AH219" s="266">
        <f t="shared" si="130"/>
        <v>1017077.5081059906</v>
      </c>
    </row>
    <row r="220" spans="1:45" x14ac:dyDescent="0.25">
      <c r="A220" s="11" t="s">
        <v>596</v>
      </c>
      <c r="B220" s="11">
        <v>362497</v>
      </c>
      <c r="C220" s="11">
        <v>374244</v>
      </c>
      <c r="D220" s="11">
        <v>736741</v>
      </c>
      <c r="E220" s="266">
        <f t="shared" si="119"/>
        <v>366121.97000000003</v>
      </c>
      <c r="F220" s="266">
        <f t="shared" si="119"/>
        <v>377986.44</v>
      </c>
      <c r="G220" s="266">
        <f t="shared" si="119"/>
        <v>744108.41</v>
      </c>
      <c r="H220" s="266">
        <f t="shared" si="120"/>
        <v>369783.18969999999</v>
      </c>
      <c r="I220" s="266">
        <f t="shared" si="120"/>
        <v>381766.30440000002</v>
      </c>
      <c r="J220" s="266">
        <f t="shared" si="120"/>
        <v>751549.49410000001</v>
      </c>
      <c r="K220" s="266">
        <f t="shared" si="121"/>
        <v>373481.02159699996</v>
      </c>
      <c r="L220" s="266">
        <f t="shared" si="121"/>
        <v>385583.96744399995</v>
      </c>
      <c r="M220" s="266">
        <f t="shared" si="121"/>
        <v>759064.98904099991</v>
      </c>
      <c r="N220" s="266">
        <f t="shared" si="122"/>
        <v>377215.83181296999</v>
      </c>
      <c r="O220" s="266">
        <f t="shared" si="122"/>
        <v>389439.80711843999</v>
      </c>
      <c r="P220" s="266">
        <f t="shared" si="122"/>
        <v>766655.63893141004</v>
      </c>
      <c r="Q220" s="266">
        <f t="shared" si="123"/>
        <v>380987.99013109965</v>
      </c>
      <c r="R220" s="266">
        <f t="shared" si="123"/>
        <v>393334.20518962439</v>
      </c>
      <c r="S220" s="266">
        <f t="shared" si="123"/>
        <v>774322.19532072404</v>
      </c>
      <c r="T220" s="266">
        <f t="shared" si="124"/>
        <v>384797.87003241072</v>
      </c>
      <c r="U220" s="266">
        <f t="shared" si="124"/>
        <v>397267.54724152072</v>
      </c>
      <c r="V220" s="266">
        <f t="shared" si="124"/>
        <v>782065.41727393144</v>
      </c>
      <c r="W220" s="266">
        <f t="shared" si="125"/>
        <v>388645.84873273474</v>
      </c>
      <c r="X220" s="266">
        <f t="shared" si="126"/>
        <v>821958.61339055188</v>
      </c>
      <c r="Y220" s="266">
        <f t="shared" si="127"/>
        <v>401240.22271393577</v>
      </c>
      <c r="Z220" s="267">
        <f t="shared" si="128"/>
        <v>392532.30722006218</v>
      </c>
      <c r="AA220" s="267">
        <f t="shared" si="128"/>
        <v>405252.62494107528</v>
      </c>
      <c r="AB220" s="267">
        <f t="shared" si="128"/>
        <v>797784.93216113746</v>
      </c>
      <c r="AC220" s="266">
        <f t="shared" si="129"/>
        <v>396457.63029226282</v>
      </c>
      <c r="AD220" s="266">
        <f t="shared" si="129"/>
        <v>409305.15119048604</v>
      </c>
      <c r="AE220" s="266">
        <f t="shared" si="129"/>
        <v>805762.78148274892</v>
      </c>
      <c r="AF220" s="266">
        <f t="shared" si="130"/>
        <v>400422.2065951855</v>
      </c>
      <c r="AG220" s="268">
        <f t="shared" si="130"/>
        <v>413398.2027023909</v>
      </c>
      <c r="AH220" s="266">
        <f t="shared" si="130"/>
        <v>813820.40929757641</v>
      </c>
    </row>
    <row r="221" spans="1:45" x14ac:dyDescent="0.25">
      <c r="A221" s="11" t="s">
        <v>597</v>
      </c>
      <c r="B221" s="11">
        <v>268460</v>
      </c>
      <c r="C221" s="11">
        <v>256326</v>
      </c>
      <c r="D221" s="11">
        <v>524786</v>
      </c>
      <c r="E221" s="266">
        <f t="shared" si="119"/>
        <v>271144.59999999998</v>
      </c>
      <c r="F221" s="266">
        <f t="shared" si="119"/>
        <v>258889.26</v>
      </c>
      <c r="G221" s="266">
        <f t="shared" si="119"/>
        <v>530033.86</v>
      </c>
      <c r="H221" s="266">
        <f t="shared" si="120"/>
        <v>273856.04599999997</v>
      </c>
      <c r="I221" s="266">
        <f t="shared" si="120"/>
        <v>261478.1526</v>
      </c>
      <c r="J221" s="266">
        <f t="shared" si="120"/>
        <v>535334.1986</v>
      </c>
      <c r="K221" s="266">
        <f t="shared" si="121"/>
        <v>276594.60645999998</v>
      </c>
      <c r="L221" s="266">
        <f t="shared" si="121"/>
        <v>264092.93412599998</v>
      </c>
      <c r="M221" s="266">
        <f t="shared" si="121"/>
        <v>540687.54058599996</v>
      </c>
      <c r="N221" s="266">
        <f t="shared" si="122"/>
        <v>279360.5525246</v>
      </c>
      <c r="O221" s="266">
        <f t="shared" si="122"/>
        <v>266733.86346726003</v>
      </c>
      <c r="P221" s="266">
        <f t="shared" si="122"/>
        <v>546094.41599185998</v>
      </c>
      <c r="Q221" s="266">
        <f t="shared" si="123"/>
        <v>282154.15804984595</v>
      </c>
      <c r="R221" s="266">
        <f t="shared" si="123"/>
        <v>269401.20210193261</v>
      </c>
      <c r="S221" s="266">
        <f t="shared" si="123"/>
        <v>551555.36015177856</v>
      </c>
      <c r="T221" s="266">
        <f t="shared" si="124"/>
        <v>284975.69963034452</v>
      </c>
      <c r="U221" s="266">
        <f t="shared" si="124"/>
        <v>272095.21412295196</v>
      </c>
      <c r="V221" s="266">
        <f t="shared" si="124"/>
        <v>557070.91375329648</v>
      </c>
      <c r="W221" s="266">
        <f t="shared" si="125"/>
        <v>287825.45662664785</v>
      </c>
      <c r="X221" s="266">
        <f t="shared" si="126"/>
        <v>585487.12897310464</v>
      </c>
      <c r="Y221" s="266">
        <f t="shared" si="127"/>
        <v>274816.16626418137</v>
      </c>
      <c r="Z221" s="267">
        <f t="shared" si="128"/>
        <v>290703.7111929144</v>
      </c>
      <c r="AA221" s="267">
        <f t="shared" si="128"/>
        <v>277564.32792682329</v>
      </c>
      <c r="AB221" s="267">
        <f t="shared" si="128"/>
        <v>568268.03911973769</v>
      </c>
      <c r="AC221" s="266">
        <f t="shared" si="129"/>
        <v>293610.74830484361</v>
      </c>
      <c r="AD221" s="266">
        <f t="shared" si="129"/>
        <v>280339.97120609152</v>
      </c>
      <c r="AE221" s="266">
        <f t="shared" si="129"/>
        <v>573950.71951093513</v>
      </c>
      <c r="AF221" s="266">
        <f t="shared" si="130"/>
        <v>296546.85578789201</v>
      </c>
      <c r="AG221" s="268">
        <f t="shared" si="130"/>
        <v>283143.37091815245</v>
      </c>
      <c r="AH221" s="266">
        <f t="shared" si="130"/>
        <v>579690.22670604452</v>
      </c>
    </row>
    <row r="222" spans="1:45" x14ac:dyDescent="0.25">
      <c r="A222" s="11" t="s">
        <v>598</v>
      </c>
      <c r="B222" s="11">
        <v>161257</v>
      </c>
      <c r="C222" s="11">
        <v>186757</v>
      </c>
      <c r="D222" s="11">
        <v>348014</v>
      </c>
      <c r="E222" s="266">
        <f t="shared" si="119"/>
        <v>162869.57</v>
      </c>
      <c r="F222" s="266">
        <f t="shared" si="119"/>
        <v>188624.57</v>
      </c>
      <c r="G222" s="266">
        <f t="shared" si="119"/>
        <v>351494.14</v>
      </c>
      <c r="H222" s="266">
        <f t="shared" si="120"/>
        <v>164498.26569999999</v>
      </c>
      <c r="I222" s="266">
        <f t="shared" si="120"/>
        <v>190510.81570000001</v>
      </c>
      <c r="J222" s="266">
        <f t="shared" si="120"/>
        <v>355009.08140000002</v>
      </c>
      <c r="K222" s="266">
        <f t="shared" si="121"/>
        <v>166143.24835699997</v>
      </c>
      <c r="L222" s="266">
        <f t="shared" si="121"/>
        <v>192415.92385699999</v>
      </c>
      <c r="M222" s="266">
        <f t="shared" si="121"/>
        <v>358559.17221399996</v>
      </c>
      <c r="N222" s="266">
        <f t="shared" si="122"/>
        <v>167804.68084057001</v>
      </c>
      <c r="O222" s="266">
        <f t="shared" si="122"/>
        <v>194340.08309557001</v>
      </c>
      <c r="P222" s="266">
        <f t="shared" si="122"/>
        <v>362144.76393613999</v>
      </c>
      <c r="Q222" s="266">
        <f t="shared" si="123"/>
        <v>169482.72764897568</v>
      </c>
      <c r="R222" s="266">
        <f t="shared" si="123"/>
        <v>196283.48392652569</v>
      </c>
      <c r="S222" s="266">
        <f t="shared" si="123"/>
        <v>365766.21157550137</v>
      </c>
      <c r="T222" s="266">
        <f t="shared" si="124"/>
        <v>171177.55492546549</v>
      </c>
      <c r="U222" s="266">
        <f t="shared" si="124"/>
        <v>198246.31876579099</v>
      </c>
      <c r="V222" s="266">
        <f t="shared" si="124"/>
        <v>369423.87369125645</v>
      </c>
      <c r="W222" s="266">
        <f t="shared" si="125"/>
        <v>172889.33047472007</v>
      </c>
      <c r="X222" s="266">
        <f t="shared" si="126"/>
        <v>388268.20399638341</v>
      </c>
      <c r="Y222" s="266">
        <f t="shared" si="127"/>
        <v>200228.78195344884</v>
      </c>
      <c r="Z222" s="267">
        <f t="shared" si="128"/>
        <v>174618.22377946734</v>
      </c>
      <c r="AA222" s="267">
        <f t="shared" si="128"/>
        <v>202231.06977298338</v>
      </c>
      <c r="AB222" s="267">
        <f t="shared" si="128"/>
        <v>376849.29355245072</v>
      </c>
      <c r="AC222" s="266">
        <f t="shared" si="129"/>
        <v>176364.40601726202</v>
      </c>
      <c r="AD222" s="266">
        <f t="shared" si="129"/>
        <v>204253.38047071322</v>
      </c>
      <c r="AE222" s="266">
        <f t="shared" si="129"/>
        <v>380617.78648797527</v>
      </c>
      <c r="AF222" s="266">
        <f t="shared" si="130"/>
        <v>178128.05007743466</v>
      </c>
      <c r="AG222" s="268">
        <f t="shared" si="130"/>
        <v>206295.91427542036</v>
      </c>
      <c r="AH222" s="266">
        <f t="shared" si="130"/>
        <v>384423.96435285499</v>
      </c>
    </row>
    <row r="223" spans="1:45" x14ac:dyDescent="0.25">
      <c r="A223" s="11" t="s">
        <v>599</v>
      </c>
      <c r="B223" s="11">
        <v>139101</v>
      </c>
      <c r="C223" s="11">
        <v>211754</v>
      </c>
      <c r="D223" s="11">
        <v>350855</v>
      </c>
      <c r="E223" s="266">
        <f t="shared" si="119"/>
        <v>140492.01</v>
      </c>
      <c r="F223" s="266">
        <f t="shared" si="119"/>
        <v>213871.54</v>
      </c>
      <c r="G223" s="266">
        <f t="shared" si="119"/>
        <v>354363.55</v>
      </c>
      <c r="H223" s="266">
        <f t="shared" si="120"/>
        <v>141896.9301</v>
      </c>
      <c r="I223" s="266">
        <f t="shared" si="120"/>
        <v>216010.25539999999</v>
      </c>
      <c r="J223" s="266">
        <f t="shared" si="120"/>
        <v>357907.18550000002</v>
      </c>
      <c r="K223" s="266">
        <f t="shared" si="121"/>
        <v>143315.89940099997</v>
      </c>
      <c r="L223" s="266">
        <f t="shared" si="121"/>
        <v>218170.35795399998</v>
      </c>
      <c r="M223" s="266">
        <f t="shared" si="121"/>
        <v>361486.25735499995</v>
      </c>
      <c r="N223" s="266">
        <f t="shared" si="122"/>
        <v>144749.05839501001</v>
      </c>
      <c r="O223" s="266">
        <f t="shared" si="122"/>
        <v>220352.06153353999</v>
      </c>
      <c r="P223" s="266">
        <f t="shared" si="122"/>
        <v>365101.11992855003</v>
      </c>
      <c r="Q223" s="266">
        <f t="shared" si="123"/>
        <v>146196.54897896008</v>
      </c>
      <c r="R223" s="266">
        <f t="shared" si="123"/>
        <v>222555.58214887537</v>
      </c>
      <c r="S223" s="266">
        <f t="shared" si="123"/>
        <v>368752.13112783548</v>
      </c>
      <c r="T223" s="266">
        <f t="shared" si="124"/>
        <v>147658.51446874972</v>
      </c>
      <c r="U223" s="266">
        <f t="shared" si="124"/>
        <v>224781.13797036419</v>
      </c>
      <c r="V223" s="266">
        <f t="shared" si="124"/>
        <v>372439.65243911388</v>
      </c>
      <c r="W223" s="266">
        <f t="shared" si="125"/>
        <v>149135.09961343717</v>
      </c>
      <c r="X223" s="266">
        <f t="shared" si="126"/>
        <v>391437.81776925962</v>
      </c>
      <c r="Y223" s="266">
        <f t="shared" si="127"/>
        <v>227028.94935006776</v>
      </c>
      <c r="Z223" s="267">
        <f t="shared" si="128"/>
        <v>150626.45060957159</v>
      </c>
      <c r="AA223" s="267">
        <f t="shared" si="128"/>
        <v>229299.23884356851</v>
      </c>
      <c r="AB223" s="267">
        <f t="shared" si="128"/>
        <v>379925.68945314008</v>
      </c>
      <c r="AC223" s="266">
        <f t="shared" si="129"/>
        <v>152132.71511566732</v>
      </c>
      <c r="AD223" s="266">
        <f t="shared" si="129"/>
        <v>231592.23123200421</v>
      </c>
      <c r="AE223" s="266">
        <f t="shared" si="129"/>
        <v>383724.9463476715</v>
      </c>
      <c r="AF223" s="266">
        <f t="shared" si="130"/>
        <v>153654.04226682399</v>
      </c>
      <c r="AG223" s="268">
        <f t="shared" si="130"/>
        <v>233908.15354432425</v>
      </c>
      <c r="AH223" s="266">
        <f t="shared" si="130"/>
        <v>387562.19581114827</v>
      </c>
    </row>
    <row r="224" spans="1:45" x14ac:dyDescent="0.25">
      <c r="A224" s="11" t="s">
        <v>600</v>
      </c>
      <c r="B224" s="11">
        <v>120776</v>
      </c>
      <c r="C224" s="11">
        <v>161568</v>
      </c>
      <c r="D224" s="11">
        <v>282344</v>
      </c>
      <c r="E224" s="266">
        <f t="shared" si="119"/>
        <v>121983.76</v>
      </c>
      <c r="F224" s="266">
        <f t="shared" si="119"/>
        <v>163183.67999999999</v>
      </c>
      <c r="G224" s="266">
        <f t="shared" si="119"/>
        <v>285167.44</v>
      </c>
      <c r="H224" s="266">
        <f t="shared" si="120"/>
        <v>123203.59759999999</v>
      </c>
      <c r="I224" s="266">
        <f t="shared" si="120"/>
        <v>164815.51680000001</v>
      </c>
      <c r="J224" s="266">
        <f t="shared" si="120"/>
        <v>288019.11440000002</v>
      </c>
      <c r="K224" s="266">
        <f t="shared" si="121"/>
        <v>124435.63357599999</v>
      </c>
      <c r="L224" s="266">
        <f t="shared" si="121"/>
        <v>166463.67196799998</v>
      </c>
      <c r="M224" s="266">
        <f t="shared" si="121"/>
        <v>290899.305544</v>
      </c>
      <c r="N224" s="266">
        <f t="shared" si="122"/>
        <v>125679.98991176</v>
      </c>
      <c r="O224" s="266">
        <f t="shared" si="122"/>
        <v>168128.30868767999</v>
      </c>
      <c r="P224" s="266">
        <f t="shared" si="122"/>
        <v>293808.29859944002</v>
      </c>
      <c r="Q224" s="266">
        <f t="shared" si="123"/>
        <v>126936.78981087758</v>
      </c>
      <c r="R224" s="266">
        <f t="shared" si="123"/>
        <v>169809.59177455679</v>
      </c>
      <c r="S224" s="266">
        <f t="shared" si="123"/>
        <v>296746.38158543437</v>
      </c>
      <c r="T224" s="266">
        <f t="shared" si="124"/>
        <v>128206.15770898639</v>
      </c>
      <c r="U224" s="266">
        <f t="shared" si="124"/>
        <v>171507.6876923024</v>
      </c>
      <c r="V224" s="266">
        <f t="shared" si="124"/>
        <v>299713.84540128877</v>
      </c>
      <c r="W224" s="266">
        <f t="shared" si="125"/>
        <v>129488.21928607622</v>
      </c>
      <c r="X224" s="266">
        <f t="shared" si="126"/>
        <v>315002.26367087214</v>
      </c>
      <c r="Y224" s="266">
        <f t="shared" si="127"/>
        <v>173222.76456922537</v>
      </c>
      <c r="Z224" s="267">
        <f t="shared" si="128"/>
        <v>130783.10147893702</v>
      </c>
      <c r="AA224" s="267">
        <f t="shared" si="128"/>
        <v>174954.99221491767</v>
      </c>
      <c r="AB224" s="267">
        <f t="shared" si="128"/>
        <v>305738.09369385469</v>
      </c>
      <c r="AC224" s="266">
        <f t="shared" si="129"/>
        <v>132090.9324937264</v>
      </c>
      <c r="AD224" s="266">
        <f t="shared" si="129"/>
        <v>176704.54213706686</v>
      </c>
      <c r="AE224" s="266">
        <f t="shared" si="129"/>
        <v>308795.47463079327</v>
      </c>
      <c r="AF224" s="266">
        <f t="shared" si="130"/>
        <v>133411.84181866367</v>
      </c>
      <c r="AG224" s="268">
        <f t="shared" si="130"/>
        <v>178471.58755843752</v>
      </c>
      <c r="AH224" s="266">
        <f t="shared" si="130"/>
        <v>311883.42937710119</v>
      </c>
    </row>
    <row r="225" spans="1:34" x14ac:dyDescent="0.25">
      <c r="A225" s="11" t="s">
        <v>601</v>
      </c>
      <c r="B225" s="11">
        <v>96779</v>
      </c>
      <c r="C225" s="11">
        <v>129937</v>
      </c>
      <c r="D225" s="11">
        <v>226716</v>
      </c>
      <c r="E225" s="266">
        <f t="shared" si="119"/>
        <v>97746.79</v>
      </c>
      <c r="F225" s="266">
        <f t="shared" si="119"/>
        <v>131236.37</v>
      </c>
      <c r="G225" s="266">
        <f t="shared" si="119"/>
        <v>228983.16</v>
      </c>
      <c r="H225" s="266">
        <f t="shared" si="120"/>
        <v>98724.257899999997</v>
      </c>
      <c r="I225" s="266">
        <f t="shared" si="120"/>
        <v>132548.73370000001</v>
      </c>
      <c r="J225" s="266">
        <f t="shared" si="120"/>
        <v>231272.99160000001</v>
      </c>
      <c r="K225" s="266">
        <f t="shared" si="121"/>
        <v>99711.500478999995</v>
      </c>
      <c r="L225" s="266">
        <f t="shared" si="121"/>
        <v>133874.22103699998</v>
      </c>
      <c r="M225" s="266">
        <f t="shared" si="121"/>
        <v>233585.72151599999</v>
      </c>
      <c r="N225" s="266">
        <f t="shared" si="122"/>
        <v>100708.61548379</v>
      </c>
      <c r="O225" s="266">
        <f t="shared" si="122"/>
        <v>135212.96324737</v>
      </c>
      <c r="P225" s="266">
        <f t="shared" si="122"/>
        <v>235921.57873116</v>
      </c>
      <c r="Q225" s="266">
        <f t="shared" si="123"/>
        <v>101715.7016386279</v>
      </c>
      <c r="R225" s="266">
        <f t="shared" si="123"/>
        <v>136565.09287984369</v>
      </c>
      <c r="S225" s="266">
        <f t="shared" si="123"/>
        <v>238280.79451847158</v>
      </c>
      <c r="T225" s="266">
        <f t="shared" si="124"/>
        <v>102732.85865501419</v>
      </c>
      <c r="U225" s="266">
        <f t="shared" si="124"/>
        <v>137930.74380864215</v>
      </c>
      <c r="V225" s="266">
        <f t="shared" si="124"/>
        <v>240663.60246365634</v>
      </c>
      <c r="W225" s="266">
        <f t="shared" si="125"/>
        <v>103760.1872415643</v>
      </c>
      <c r="X225" s="266">
        <f t="shared" si="126"/>
        <v>252939.86488257386</v>
      </c>
      <c r="Y225" s="266">
        <f t="shared" si="127"/>
        <v>139310.05124672854</v>
      </c>
      <c r="Z225" s="267">
        <f t="shared" si="128"/>
        <v>104797.78911397998</v>
      </c>
      <c r="AA225" s="267">
        <f t="shared" si="128"/>
        <v>140703.15175919587</v>
      </c>
      <c r="AB225" s="267">
        <f t="shared" si="128"/>
        <v>245500.94087317583</v>
      </c>
      <c r="AC225" s="266">
        <f t="shared" si="129"/>
        <v>105845.76700511978</v>
      </c>
      <c r="AD225" s="266">
        <f t="shared" si="129"/>
        <v>142110.18327678784</v>
      </c>
      <c r="AE225" s="266">
        <f t="shared" si="129"/>
        <v>247955.9502819076</v>
      </c>
      <c r="AF225" s="266">
        <f t="shared" si="130"/>
        <v>106904.22467517099</v>
      </c>
      <c r="AG225" s="268">
        <f t="shared" si="130"/>
        <v>143531.2851095557</v>
      </c>
      <c r="AH225" s="266">
        <f t="shared" si="130"/>
        <v>250435.50978472669</v>
      </c>
    </row>
    <row r="226" spans="1:34" x14ac:dyDescent="0.25">
      <c r="A226" s="11" t="s">
        <v>602</v>
      </c>
      <c r="B226" s="11">
        <v>73055</v>
      </c>
      <c r="C226" s="11">
        <v>94058</v>
      </c>
      <c r="D226" s="11">
        <v>167113</v>
      </c>
      <c r="E226" s="266">
        <f t="shared" si="119"/>
        <v>73785.55</v>
      </c>
      <c r="F226" s="266">
        <f t="shared" si="119"/>
        <v>94998.58</v>
      </c>
      <c r="G226" s="266">
        <f t="shared" si="119"/>
        <v>168784.13</v>
      </c>
      <c r="H226" s="266">
        <f t="shared" si="120"/>
        <v>74523.405499999993</v>
      </c>
      <c r="I226" s="266">
        <f t="shared" si="120"/>
        <v>95948.565799999997</v>
      </c>
      <c r="J226" s="266">
        <f t="shared" si="120"/>
        <v>170471.9713</v>
      </c>
      <c r="K226" s="266">
        <f t="shared" si="121"/>
        <v>75268.639554999987</v>
      </c>
      <c r="L226" s="266">
        <f t="shared" si="121"/>
        <v>96908.051457999987</v>
      </c>
      <c r="M226" s="266">
        <f t="shared" si="121"/>
        <v>172176.69101299997</v>
      </c>
      <c r="N226" s="266">
        <f t="shared" si="122"/>
        <v>76021.325950550003</v>
      </c>
      <c r="O226" s="266">
        <f t="shared" si="122"/>
        <v>97877.131972579999</v>
      </c>
      <c r="P226" s="266">
        <f t="shared" si="122"/>
        <v>173898.45792313002</v>
      </c>
      <c r="Q226" s="266">
        <f t="shared" si="123"/>
        <v>76781.539210055489</v>
      </c>
      <c r="R226" s="266">
        <f t="shared" si="123"/>
        <v>98855.903292305797</v>
      </c>
      <c r="S226" s="266">
        <f t="shared" si="123"/>
        <v>175637.44250236129</v>
      </c>
      <c r="T226" s="266">
        <f t="shared" si="124"/>
        <v>77549.354602156061</v>
      </c>
      <c r="U226" s="266">
        <f t="shared" si="124"/>
        <v>99844.462325228873</v>
      </c>
      <c r="V226" s="266">
        <f t="shared" si="124"/>
        <v>177393.81692738493</v>
      </c>
      <c r="W226" s="266">
        <f t="shared" si="125"/>
        <v>78324.848148177596</v>
      </c>
      <c r="X226" s="266">
        <f t="shared" si="126"/>
        <v>186442.68441628103</v>
      </c>
      <c r="Y226" s="266">
        <f t="shared" si="127"/>
        <v>100842.90694848113</v>
      </c>
      <c r="Z226" s="267">
        <f t="shared" si="128"/>
        <v>79108.096629659398</v>
      </c>
      <c r="AA226" s="267">
        <f t="shared" si="128"/>
        <v>101851.33601796596</v>
      </c>
      <c r="AB226" s="267">
        <f t="shared" si="128"/>
        <v>180959.43264762536</v>
      </c>
      <c r="AC226" s="266">
        <f t="shared" si="129"/>
        <v>79899.177595956004</v>
      </c>
      <c r="AD226" s="266">
        <f t="shared" si="129"/>
        <v>102869.84937814563</v>
      </c>
      <c r="AE226" s="266">
        <f t="shared" si="129"/>
        <v>182769.02697410164</v>
      </c>
      <c r="AF226" s="266">
        <f t="shared" si="130"/>
        <v>80698.169371915559</v>
      </c>
      <c r="AG226" s="268">
        <f t="shared" si="130"/>
        <v>103898.54787192709</v>
      </c>
      <c r="AH226" s="266">
        <f t="shared" si="130"/>
        <v>184596.71724384266</v>
      </c>
    </row>
    <row r="227" spans="1:34" x14ac:dyDescent="0.25">
      <c r="A227" s="11" t="s">
        <v>603</v>
      </c>
      <c r="B227" s="11">
        <v>62230</v>
      </c>
      <c r="C227" s="11">
        <v>75467</v>
      </c>
      <c r="D227" s="11">
        <v>137697</v>
      </c>
      <c r="E227" s="266">
        <f t="shared" si="119"/>
        <v>62852.3</v>
      </c>
      <c r="F227" s="266">
        <f t="shared" si="119"/>
        <v>76221.67</v>
      </c>
      <c r="G227" s="266">
        <f t="shared" si="119"/>
        <v>139073.97</v>
      </c>
      <c r="H227" s="266">
        <f t="shared" si="120"/>
        <v>63480.823000000004</v>
      </c>
      <c r="I227" s="266">
        <f t="shared" si="120"/>
        <v>76983.886700000003</v>
      </c>
      <c r="J227" s="266">
        <f t="shared" si="120"/>
        <v>140464.70970000001</v>
      </c>
      <c r="K227" s="266">
        <f t="shared" si="121"/>
        <v>64115.631229999992</v>
      </c>
      <c r="L227" s="266">
        <f t="shared" si="121"/>
        <v>77753.725566999987</v>
      </c>
      <c r="M227" s="266">
        <f t="shared" si="121"/>
        <v>141869.35679699999</v>
      </c>
      <c r="N227" s="266">
        <f t="shared" si="122"/>
        <v>64756.7875423</v>
      </c>
      <c r="O227" s="266">
        <f t="shared" si="122"/>
        <v>78531.262822670004</v>
      </c>
      <c r="P227" s="266">
        <f t="shared" si="122"/>
        <v>143288.05036497</v>
      </c>
      <c r="Q227" s="266">
        <f t="shared" si="123"/>
        <v>65404.355417722996</v>
      </c>
      <c r="R227" s="266">
        <f t="shared" si="123"/>
        <v>79316.575450896693</v>
      </c>
      <c r="S227" s="266">
        <f t="shared" si="123"/>
        <v>144720.9308686197</v>
      </c>
      <c r="T227" s="266">
        <f t="shared" si="124"/>
        <v>66058.398971900242</v>
      </c>
      <c r="U227" s="266">
        <f t="shared" si="124"/>
        <v>80109.741205405677</v>
      </c>
      <c r="V227" s="266">
        <f t="shared" si="124"/>
        <v>146168.1401773059</v>
      </c>
      <c r="W227" s="266">
        <f t="shared" si="125"/>
        <v>66718.982961619215</v>
      </c>
      <c r="X227" s="266">
        <f t="shared" si="126"/>
        <v>153624.18433077406</v>
      </c>
      <c r="Y227" s="266">
        <f t="shared" si="127"/>
        <v>80910.838617459711</v>
      </c>
      <c r="Z227" s="267">
        <f t="shared" si="128"/>
        <v>67386.17279123544</v>
      </c>
      <c r="AA227" s="267">
        <f t="shared" si="128"/>
        <v>81719.947003634326</v>
      </c>
      <c r="AB227" s="267">
        <f t="shared" si="128"/>
        <v>149106.11979486977</v>
      </c>
      <c r="AC227" s="266">
        <f t="shared" si="129"/>
        <v>68060.034519147797</v>
      </c>
      <c r="AD227" s="266">
        <f t="shared" si="129"/>
        <v>82537.146473670684</v>
      </c>
      <c r="AE227" s="266">
        <f t="shared" si="129"/>
        <v>150597.18099281847</v>
      </c>
      <c r="AF227" s="266">
        <f t="shared" si="130"/>
        <v>68740.63486433927</v>
      </c>
      <c r="AG227" s="268">
        <f t="shared" si="130"/>
        <v>83362.517938407385</v>
      </c>
      <c r="AH227" s="266">
        <f t="shared" si="130"/>
        <v>152103.15280274666</v>
      </c>
    </row>
    <row r="228" spans="1:34" x14ac:dyDescent="0.25">
      <c r="A228" s="11" t="s">
        <v>604</v>
      </c>
      <c r="B228" s="11">
        <v>96640</v>
      </c>
      <c r="C228" s="11">
        <v>130254</v>
      </c>
      <c r="D228" s="11">
        <v>226894</v>
      </c>
      <c r="E228" s="266">
        <f t="shared" si="119"/>
        <v>97606.399999999994</v>
      </c>
      <c r="F228" s="266">
        <f t="shared" si="119"/>
        <v>131556.54</v>
      </c>
      <c r="G228" s="266">
        <f t="shared" si="119"/>
        <v>229162.94</v>
      </c>
      <c r="H228" s="266">
        <f t="shared" si="120"/>
        <v>98582.464000000007</v>
      </c>
      <c r="I228" s="266">
        <f t="shared" si="120"/>
        <v>132872.1054</v>
      </c>
      <c r="J228" s="266">
        <f t="shared" si="120"/>
        <v>231454.56940000001</v>
      </c>
      <c r="K228" s="266">
        <f t="shared" si="121"/>
        <v>99568.288639999984</v>
      </c>
      <c r="L228" s="266">
        <f t="shared" si="121"/>
        <v>134200.82645399999</v>
      </c>
      <c r="M228" s="266">
        <f t="shared" si="121"/>
        <v>233769.11509399998</v>
      </c>
      <c r="N228" s="266">
        <f t="shared" si="122"/>
        <v>100563.9715264</v>
      </c>
      <c r="O228" s="266">
        <f t="shared" si="122"/>
        <v>135542.83471853999</v>
      </c>
      <c r="P228" s="266">
        <f t="shared" si="122"/>
        <v>236106.80624494</v>
      </c>
      <c r="Q228" s="266">
        <f t="shared" si="123"/>
        <v>101569.611241664</v>
      </c>
      <c r="R228" s="266">
        <f t="shared" si="123"/>
        <v>136898.26306572539</v>
      </c>
      <c r="S228" s="266">
        <f t="shared" si="123"/>
        <v>238467.87430738937</v>
      </c>
      <c r="T228" s="266">
        <f t="shared" si="124"/>
        <v>102585.30735408065</v>
      </c>
      <c r="U228" s="266">
        <f t="shared" si="124"/>
        <v>138267.24569638268</v>
      </c>
      <c r="V228" s="266">
        <f t="shared" si="124"/>
        <v>240852.55305046332</v>
      </c>
      <c r="W228" s="266">
        <f t="shared" si="125"/>
        <v>103611.16042762143</v>
      </c>
      <c r="X228" s="266">
        <f t="shared" si="126"/>
        <v>253138.4538482803</v>
      </c>
      <c r="Y228" s="266">
        <f t="shared" si="127"/>
        <v>139649.91815334646</v>
      </c>
      <c r="Z228" s="267">
        <f t="shared" si="128"/>
        <v>104647.27203189768</v>
      </c>
      <c r="AA228" s="267">
        <f t="shared" si="128"/>
        <v>141046.41733487995</v>
      </c>
      <c r="AB228" s="267">
        <f t="shared" si="128"/>
        <v>245693.68936677763</v>
      </c>
      <c r="AC228" s="266">
        <f t="shared" si="129"/>
        <v>105693.74475221666</v>
      </c>
      <c r="AD228" s="266">
        <f t="shared" si="129"/>
        <v>142456.88150822878</v>
      </c>
      <c r="AE228" s="266">
        <f t="shared" si="129"/>
        <v>248150.62626044542</v>
      </c>
      <c r="AF228" s="266">
        <f t="shared" si="130"/>
        <v>106750.68219973883</v>
      </c>
      <c r="AG228" s="268">
        <f t="shared" si="130"/>
        <v>143881.45032331106</v>
      </c>
      <c r="AH228" s="266">
        <f t="shared" si="130"/>
        <v>250632.13252304989</v>
      </c>
    </row>
    <row r="229" spans="1:34" x14ac:dyDescent="0.25">
      <c r="A229" s="11" t="s">
        <v>605</v>
      </c>
      <c r="B229" s="11">
        <v>12544</v>
      </c>
      <c r="C229" s="11">
        <v>15119</v>
      </c>
      <c r="D229" s="11">
        <v>27663</v>
      </c>
      <c r="E229" s="266">
        <f t="shared" si="119"/>
        <v>12669.44</v>
      </c>
      <c r="F229" s="266">
        <f t="shared" si="119"/>
        <v>15270.19</v>
      </c>
      <c r="G229" s="266">
        <f t="shared" si="119"/>
        <v>27939.63</v>
      </c>
      <c r="H229" s="266">
        <f t="shared" si="120"/>
        <v>12796.134400000001</v>
      </c>
      <c r="I229" s="266">
        <f t="shared" si="120"/>
        <v>15422.891900000001</v>
      </c>
      <c r="J229" s="266">
        <f t="shared" si="120"/>
        <v>28219.026300000001</v>
      </c>
      <c r="K229" s="266">
        <f t="shared" si="121"/>
        <v>12924.095743999998</v>
      </c>
      <c r="L229" s="266">
        <f t="shared" si="121"/>
        <v>15577.120818999998</v>
      </c>
      <c r="M229" s="266">
        <f t="shared" si="121"/>
        <v>28501.216562999998</v>
      </c>
      <c r="N229" s="266">
        <f t="shared" si="122"/>
        <v>13053.336701440001</v>
      </c>
      <c r="O229" s="266">
        <f t="shared" si="122"/>
        <v>15732.892027190001</v>
      </c>
      <c r="P229" s="266">
        <f t="shared" si="122"/>
        <v>28786.228728630002</v>
      </c>
      <c r="Q229" s="266">
        <f t="shared" si="123"/>
        <v>13183.870068454398</v>
      </c>
      <c r="R229" s="266">
        <f t="shared" si="123"/>
        <v>15890.220947461899</v>
      </c>
      <c r="S229" s="266">
        <f t="shared" si="123"/>
        <v>29074.0910159163</v>
      </c>
      <c r="T229" s="266">
        <f t="shared" si="124"/>
        <v>13315.708769138946</v>
      </c>
      <c r="U229" s="266">
        <f t="shared" si="124"/>
        <v>16049.123156936521</v>
      </c>
      <c r="V229" s="266">
        <f t="shared" si="124"/>
        <v>29364.831926075465</v>
      </c>
      <c r="W229" s="266">
        <f t="shared" si="125"/>
        <v>13448.865856830331</v>
      </c>
      <c r="X229" s="266">
        <f t="shared" si="126"/>
        <v>30862.733473802647</v>
      </c>
      <c r="Y229" s="266">
        <f t="shared" si="127"/>
        <v>16209.614388505881</v>
      </c>
      <c r="Z229" s="267">
        <f t="shared" si="128"/>
        <v>13583.354515398638</v>
      </c>
      <c r="AA229" s="267">
        <f t="shared" si="128"/>
        <v>16371.710532390945</v>
      </c>
      <c r="AB229" s="267">
        <f t="shared" si="128"/>
        <v>29955.065047789583</v>
      </c>
      <c r="AC229" s="266">
        <f t="shared" si="129"/>
        <v>13719.188060552626</v>
      </c>
      <c r="AD229" s="266">
        <f t="shared" si="129"/>
        <v>16535.427637714856</v>
      </c>
      <c r="AE229" s="266">
        <f t="shared" si="129"/>
        <v>30254.61569826748</v>
      </c>
      <c r="AF229" s="266">
        <f t="shared" si="130"/>
        <v>13856.379941158153</v>
      </c>
      <c r="AG229" s="268">
        <f t="shared" si="130"/>
        <v>16700.781914092004</v>
      </c>
      <c r="AH229" s="266">
        <f t="shared" si="130"/>
        <v>30557.161855250157</v>
      </c>
    </row>
    <row r="230" spans="1:34" x14ac:dyDescent="0.25">
      <c r="A230" s="263" t="s">
        <v>2</v>
      </c>
      <c r="B230" s="263">
        <v>6280539</v>
      </c>
      <c r="C230" s="263">
        <v>6780700</v>
      </c>
      <c r="D230" s="263">
        <v>13061239</v>
      </c>
      <c r="E230" s="270">
        <f t="shared" si="119"/>
        <v>6343344.3899999997</v>
      </c>
      <c r="F230" s="270">
        <f t="shared" si="119"/>
        <v>6848507</v>
      </c>
      <c r="G230" s="270">
        <f t="shared" si="119"/>
        <v>13191851.390000001</v>
      </c>
      <c r="H230" s="270">
        <f t="shared" si="120"/>
        <v>6406777.8339</v>
      </c>
      <c r="I230" s="270">
        <f t="shared" si="120"/>
        <v>6916992.0700000003</v>
      </c>
      <c r="J230" s="270">
        <f t="shared" si="120"/>
        <v>13323769.903899999</v>
      </c>
      <c r="K230" s="270">
        <f t="shared" si="121"/>
        <v>6470845.6122389995</v>
      </c>
      <c r="L230" s="270">
        <f t="shared" si="121"/>
        <v>6986161.990699999</v>
      </c>
      <c r="M230" s="270">
        <f t="shared" si="121"/>
        <v>13457007.602938998</v>
      </c>
      <c r="N230" s="270">
        <f t="shared" si="122"/>
        <v>6535554.0683613904</v>
      </c>
      <c r="O230" s="270">
        <f t="shared" si="122"/>
        <v>7056023.6106070001</v>
      </c>
      <c r="P230" s="270">
        <f t="shared" si="122"/>
        <v>13591577.67896839</v>
      </c>
      <c r="Q230" s="270">
        <f t="shared" si="123"/>
        <v>6600909.6090450035</v>
      </c>
      <c r="R230" s="270">
        <f t="shared" si="123"/>
        <v>7126583.8467130698</v>
      </c>
      <c r="S230" s="270">
        <f t="shared" si="123"/>
        <v>13727493.455758072</v>
      </c>
      <c r="T230" s="270">
        <f t="shared" si="124"/>
        <v>6666918.7051354544</v>
      </c>
      <c r="U230" s="270">
        <f t="shared" si="124"/>
        <v>7197849.6851802012</v>
      </c>
      <c r="V230" s="270">
        <f t="shared" si="124"/>
        <v>13864768.390315656</v>
      </c>
      <c r="W230" s="270">
        <f t="shared" si="125"/>
        <v>6733587.8921868075</v>
      </c>
      <c r="X230" s="270">
        <f t="shared" si="126"/>
        <v>14572010.92053055</v>
      </c>
      <c r="Y230" s="270">
        <f t="shared" si="127"/>
        <v>7269828.1820320012</v>
      </c>
      <c r="Z230" s="271">
        <f>B230*1.01^8</f>
        <v>6800923.7711086776</v>
      </c>
      <c r="AA230" s="271">
        <f t="shared" ref="AA230:AB230" si="131">C230*1.01^8</f>
        <v>7342526.4638523236</v>
      </c>
      <c r="AB230" s="271">
        <f t="shared" si="131"/>
        <v>14143450.234961001</v>
      </c>
      <c r="AC230" s="270">
        <f t="shared" si="129"/>
        <v>6868933.0088197645</v>
      </c>
      <c r="AD230" s="270">
        <f t="shared" si="129"/>
        <v>7415951.7284908472</v>
      </c>
      <c r="AE230" s="270">
        <f t="shared" si="129"/>
        <v>14284884.737310613</v>
      </c>
      <c r="AF230" s="270">
        <f t="shared" si="130"/>
        <v>6937622.3389079627</v>
      </c>
      <c r="AG230" s="272">
        <f t="shared" si="130"/>
        <v>7490111.2457757564</v>
      </c>
      <c r="AH230" s="270">
        <f t="shared" si="130"/>
        <v>14427733.584683718</v>
      </c>
    </row>
  </sheetData>
  <mergeCells count="111">
    <mergeCell ref="E211:G211"/>
    <mergeCell ref="H211:J211"/>
    <mergeCell ref="K211:M211"/>
    <mergeCell ref="N211:P211"/>
    <mergeCell ref="Q211:S211"/>
    <mergeCell ref="AC169:AE169"/>
    <mergeCell ref="T211:V211"/>
    <mergeCell ref="W211:Y211"/>
    <mergeCell ref="Z211:AB211"/>
    <mergeCell ref="AC211:AE211"/>
    <mergeCell ref="H169:J169"/>
    <mergeCell ref="K169:M169"/>
    <mergeCell ref="N169:P169"/>
    <mergeCell ref="Q169:S169"/>
    <mergeCell ref="T169:V169"/>
    <mergeCell ref="W169:Y169"/>
    <mergeCell ref="Z169:AB169"/>
    <mergeCell ref="AF127:AH127"/>
    <mergeCell ref="AF211:AH211"/>
    <mergeCell ref="T190:V190"/>
    <mergeCell ref="W190:Y190"/>
    <mergeCell ref="Z190:AB190"/>
    <mergeCell ref="AC190:AE190"/>
    <mergeCell ref="AF190:AH190"/>
    <mergeCell ref="E148:G148"/>
    <mergeCell ref="H148:J148"/>
    <mergeCell ref="K148:M148"/>
    <mergeCell ref="N148:P148"/>
    <mergeCell ref="Q148:S148"/>
    <mergeCell ref="AF169:AH169"/>
    <mergeCell ref="E190:G190"/>
    <mergeCell ref="H190:J190"/>
    <mergeCell ref="K190:M190"/>
    <mergeCell ref="N190:P190"/>
    <mergeCell ref="Q190:S190"/>
    <mergeCell ref="T148:V148"/>
    <mergeCell ref="W148:Y148"/>
    <mergeCell ref="Z148:AB148"/>
    <mergeCell ref="AC148:AE148"/>
    <mergeCell ref="AF148:AH148"/>
    <mergeCell ref="E169:G169"/>
    <mergeCell ref="E127:G127"/>
    <mergeCell ref="H127:J127"/>
    <mergeCell ref="K127:M127"/>
    <mergeCell ref="N127:P127"/>
    <mergeCell ref="Q127:S127"/>
    <mergeCell ref="T127:V127"/>
    <mergeCell ref="W127:Y127"/>
    <mergeCell ref="Z127:AB127"/>
    <mergeCell ref="AC127:AE127"/>
    <mergeCell ref="AF85:AH85"/>
    <mergeCell ref="E106:G106"/>
    <mergeCell ref="H106:J106"/>
    <mergeCell ref="K106:M106"/>
    <mergeCell ref="N106:P106"/>
    <mergeCell ref="Q106:S106"/>
    <mergeCell ref="T106:V106"/>
    <mergeCell ref="W106:Y106"/>
    <mergeCell ref="Z106:AB106"/>
    <mergeCell ref="AC106:AE106"/>
    <mergeCell ref="AF106:AH106"/>
    <mergeCell ref="E85:G85"/>
    <mergeCell ref="H85:J85"/>
    <mergeCell ref="K85:M85"/>
    <mergeCell ref="N85:P85"/>
    <mergeCell ref="Q85:S85"/>
    <mergeCell ref="T85:V85"/>
    <mergeCell ref="W85:Y85"/>
    <mergeCell ref="Z85:AB85"/>
    <mergeCell ref="AC85:AE85"/>
    <mergeCell ref="AF43:AH43"/>
    <mergeCell ref="E64:G64"/>
    <mergeCell ref="H64:J64"/>
    <mergeCell ref="K64:M64"/>
    <mergeCell ref="N64:P64"/>
    <mergeCell ref="Q64:S64"/>
    <mergeCell ref="T64:V64"/>
    <mergeCell ref="W64:Y64"/>
    <mergeCell ref="Z64:AB64"/>
    <mergeCell ref="AC64:AE64"/>
    <mergeCell ref="AF64:AH64"/>
    <mergeCell ref="E43:G43"/>
    <mergeCell ref="H43:J43"/>
    <mergeCell ref="K43:M43"/>
    <mergeCell ref="N43:P43"/>
    <mergeCell ref="Q43:S43"/>
    <mergeCell ref="T43:V43"/>
    <mergeCell ref="W43:Y43"/>
    <mergeCell ref="Z43:AB43"/>
    <mergeCell ref="AC43:AE43"/>
    <mergeCell ref="AC1:AE1"/>
    <mergeCell ref="AF1:AH1"/>
    <mergeCell ref="E22:G22"/>
    <mergeCell ref="H22:J22"/>
    <mergeCell ref="K22:M22"/>
    <mergeCell ref="N22:P22"/>
    <mergeCell ref="Q22:S22"/>
    <mergeCell ref="T22:V22"/>
    <mergeCell ref="W22:Y22"/>
    <mergeCell ref="Z22:AB22"/>
    <mergeCell ref="AC22:AE22"/>
    <mergeCell ref="AF22:AH22"/>
    <mergeCell ref="B1:D1"/>
    <mergeCell ref="E1:G1"/>
    <mergeCell ref="H1:J1"/>
    <mergeCell ref="K1:M1"/>
    <mergeCell ref="N1:P1"/>
    <mergeCell ref="Q1:S1"/>
    <mergeCell ref="T1:V1"/>
    <mergeCell ref="W1:Y1"/>
    <mergeCell ref="Z1:AB1"/>
  </mergeCells>
  <phoneticPr fontId="1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84E53-ECDA-43AD-90A0-AEC04F9A4424}">
  <sheetPr>
    <tabColor rgb="FF00B050"/>
  </sheetPr>
  <dimension ref="A1:P992"/>
  <sheetViews>
    <sheetView showGridLines="0" topLeftCell="A29" workbookViewId="0">
      <selection activeCell="A52" sqref="A52"/>
    </sheetView>
  </sheetViews>
  <sheetFormatPr defaultColWidth="13.85546875" defaultRowHeight="15" customHeight="1" x14ac:dyDescent="0.25"/>
  <cols>
    <col min="1" max="1" width="106.85546875" customWidth="1"/>
    <col min="2" max="26" width="8.42578125" customWidth="1"/>
  </cols>
  <sheetData>
    <row r="1" spans="1:16" x14ac:dyDescent="0.25">
      <c r="A1" s="27" t="s">
        <v>123</v>
      </c>
      <c r="B1" s="28"/>
      <c r="C1" s="28"/>
      <c r="D1" s="28"/>
      <c r="E1" s="28"/>
      <c r="F1" s="28"/>
      <c r="G1" s="28"/>
      <c r="H1" s="28"/>
      <c r="I1" s="28"/>
      <c r="J1" s="28"/>
      <c r="K1" s="28"/>
      <c r="L1" s="28"/>
      <c r="M1" s="28"/>
      <c r="N1" s="28"/>
      <c r="O1" s="28"/>
      <c r="P1" s="29"/>
    </row>
    <row r="2" spans="1:16" x14ac:dyDescent="0.25">
      <c r="A2" s="30"/>
      <c r="B2" s="31"/>
      <c r="C2" s="31"/>
      <c r="D2" s="31"/>
      <c r="E2" s="31"/>
      <c r="F2" s="31"/>
      <c r="G2" s="31"/>
      <c r="H2" s="31"/>
      <c r="I2" s="31"/>
      <c r="J2" s="31"/>
      <c r="K2" s="31"/>
      <c r="L2" s="31"/>
      <c r="M2" s="31"/>
      <c r="N2" s="31"/>
      <c r="O2" s="31"/>
      <c r="P2" s="32"/>
    </row>
    <row r="3" spans="1:16" x14ac:dyDescent="0.25">
      <c r="A3" s="30" t="s">
        <v>124</v>
      </c>
      <c r="B3" s="31"/>
      <c r="C3" s="31"/>
      <c r="D3" s="31"/>
      <c r="E3" s="31"/>
      <c r="F3" s="31"/>
      <c r="G3" s="31"/>
      <c r="H3" s="31"/>
      <c r="I3" s="31"/>
      <c r="J3" s="31"/>
      <c r="K3" s="31"/>
      <c r="L3" s="31"/>
      <c r="M3" s="31"/>
      <c r="N3" s="31"/>
      <c r="O3" s="31"/>
      <c r="P3" s="32"/>
    </row>
    <row r="4" spans="1:16" x14ac:dyDescent="0.25">
      <c r="A4" s="35" t="s">
        <v>263</v>
      </c>
      <c r="B4" s="31"/>
      <c r="C4" s="31"/>
      <c r="D4" s="31"/>
      <c r="E4" s="31"/>
      <c r="F4" s="31"/>
      <c r="G4" s="31"/>
      <c r="H4" s="31"/>
      <c r="I4" s="31"/>
      <c r="J4" s="31"/>
      <c r="K4" s="31"/>
      <c r="L4" s="31"/>
      <c r="M4" s="31"/>
      <c r="N4" s="31"/>
      <c r="O4" s="31"/>
      <c r="P4" s="32"/>
    </row>
    <row r="5" spans="1:16" x14ac:dyDescent="0.25">
      <c r="A5" s="33" t="s">
        <v>182</v>
      </c>
      <c r="B5" s="31"/>
      <c r="C5" s="31"/>
      <c r="D5" s="31"/>
      <c r="E5" s="31"/>
      <c r="F5" s="31"/>
      <c r="G5" s="31"/>
      <c r="H5" s="31"/>
      <c r="I5" s="31"/>
      <c r="J5" s="31"/>
      <c r="K5" s="31"/>
      <c r="L5" s="31"/>
      <c r="M5" s="31"/>
      <c r="N5" s="31"/>
      <c r="O5" s="31"/>
      <c r="P5" s="32"/>
    </row>
    <row r="6" spans="1:16" ht="15" customHeight="1" x14ac:dyDescent="0.25">
      <c r="A6" s="34"/>
      <c r="B6" s="31"/>
      <c r="C6" s="31"/>
      <c r="D6" s="31"/>
      <c r="E6" s="31"/>
      <c r="F6" s="31"/>
      <c r="G6" s="31"/>
      <c r="H6" s="31"/>
      <c r="I6" s="31"/>
      <c r="J6" s="31"/>
      <c r="K6" s="31"/>
      <c r="L6" s="31"/>
      <c r="M6" s="31"/>
      <c r="N6" s="31"/>
      <c r="O6" s="31"/>
      <c r="P6" s="32"/>
    </row>
    <row r="7" spans="1:16" x14ac:dyDescent="0.25">
      <c r="A7" s="30" t="s">
        <v>125</v>
      </c>
      <c r="B7" s="31"/>
      <c r="C7" s="31"/>
      <c r="D7" s="31"/>
      <c r="E7" s="31"/>
      <c r="F7" s="31"/>
      <c r="G7" s="31"/>
      <c r="H7" s="31"/>
      <c r="I7" s="31"/>
      <c r="J7" s="31"/>
      <c r="K7" s="31"/>
      <c r="L7" s="31"/>
      <c r="M7" s="31"/>
      <c r="N7" s="31"/>
      <c r="O7" s="31"/>
      <c r="P7" s="32"/>
    </row>
    <row r="8" spans="1:16" x14ac:dyDescent="0.25">
      <c r="A8" s="35" t="s">
        <v>126</v>
      </c>
      <c r="B8" s="31"/>
      <c r="C8" s="31"/>
      <c r="D8" s="31"/>
      <c r="E8" s="31"/>
      <c r="F8" s="31"/>
      <c r="G8" s="31"/>
      <c r="H8" s="31"/>
      <c r="I8" s="31"/>
      <c r="J8" s="31"/>
      <c r="K8" s="31"/>
      <c r="L8" s="31"/>
      <c r="M8" s="31"/>
      <c r="N8" s="31"/>
      <c r="O8" s="31"/>
      <c r="P8" s="32"/>
    </row>
    <row r="9" spans="1:16" x14ac:dyDescent="0.25">
      <c r="A9" s="36" t="s">
        <v>127</v>
      </c>
      <c r="B9" s="31"/>
      <c r="C9" s="31"/>
      <c r="D9" s="31"/>
      <c r="E9" s="31"/>
      <c r="F9" s="31"/>
      <c r="G9" s="31"/>
      <c r="H9" s="31"/>
      <c r="I9" s="31"/>
      <c r="J9" s="31"/>
      <c r="K9" s="31"/>
      <c r="L9" s="31"/>
      <c r="M9" s="31"/>
      <c r="N9" s="31"/>
      <c r="O9" s="31"/>
      <c r="P9" s="32"/>
    </row>
    <row r="10" spans="1:16" x14ac:dyDescent="0.25">
      <c r="A10" s="37" t="s">
        <v>128</v>
      </c>
      <c r="B10" s="31"/>
      <c r="C10" s="31"/>
      <c r="D10" s="31"/>
      <c r="E10" s="31"/>
      <c r="F10" s="31"/>
      <c r="G10" s="31"/>
      <c r="H10" s="31"/>
      <c r="I10" s="31"/>
      <c r="J10" s="31"/>
      <c r="K10" s="31"/>
      <c r="L10" s="31"/>
      <c r="M10" s="31"/>
      <c r="N10" s="31"/>
      <c r="O10" s="31"/>
      <c r="P10" s="32"/>
    </row>
    <row r="11" spans="1:16" ht="15" customHeight="1" x14ac:dyDescent="0.25">
      <c r="A11" s="34"/>
      <c r="B11" s="31"/>
      <c r="C11" s="31"/>
      <c r="D11" s="31"/>
      <c r="E11" s="31"/>
      <c r="F11" s="31"/>
      <c r="G11" s="31"/>
      <c r="H11" s="31"/>
      <c r="I11" s="31"/>
      <c r="J11" s="31"/>
      <c r="K11" s="31"/>
      <c r="L11" s="31"/>
      <c r="M11" s="31"/>
      <c r="N11" s="31"/>
      <c r="O11" s="31"/>
      <c r="P11" s="32"/>
    </row>
    <row r="12" spans="1:16" x14ac:dyDescent="0.25">
      <c r="A12" s="36" t="s">
        <v>129</v>
      </c>
      <c r="B12" s="31"/>
      <c r="C12" s="31"/>
      <c r="D12" s="31"/>
      <c r="E12" s="31"/>
      <c r="F12" s="31"/>
      <c r="G12" s="31"/>
      <c r="H12" s="31"/>
      <c r="I12" s="31"/>
      <c r="J12" s="31"/>
      <c r="K12" s="31"/>
      <c r="L12" s="31"/>
      <c r="M12" s="31"/>
      <c r="N12" s="31"/>
      <c r="O12" s="31"/>
      <c r="P12" s="32"/>
    </row>
    <row r="13" spans="1:16" x14ac:dyDescent="0.25">
      <c r="A13" s="35" t="s">
        <v>130</v>
      </c>
      <c r="B13" s="31"/>
      <c r="C13" s="31"/>
      <c r="D13" s="31"/>
      <c r="E13" s="31"/>
      <c r="F13" s="31"/>
      <c r="G13" s="31"/>
      <c r="H13" s="31"/>
      <c r="I13" s="31"/>
      <c r="J13" s="31"/>
      <c r="K13" s="31"/>
      <c r="L13" s="31"/>
      <c r="M13" s="31"/>
      <c r="N13" s="31"/>
      <c r="O13" s="31"/>
      <c r="P13" s="32"/>
    </row>
    <row r="14" spans="1:16" x14ac:dyDescent="0.25">
      <c r="A14" s="35" t="s">
        <v>131</v>
      </c>
      <c r="B14" s="31"/>
      <c r="C14" s="31"/>
      <c r="D14" s="31"/>
      <c r="E14" s="31"/>
      <c r="F14" s="31"/>
      <c r="G14" s="31"/>
      <c r="H14" s="31"/>
      <c r="I14" s="31"/>
      <c r="J14" s="31"/>
      <c r="K14" s="31"/>
      <c r="L14" s="31"/>
      <c r="M14" s="31"/>
      <c r="N14" s="31"/>
      <c r="O14" s="31"/>
      <c r="P14" s="32"/>
    </row>
    <row r="15" spans="1:16" x14ac:dyDescent="0.25">
      <c r="A15" s="38" t="s">
        <v>132</v>
      </c>
      <c r="B15" s="31"/>
      <c r="C15" s="31"/>
      <c r="D15" s="31"/>
      <c r="E15" s="31"/>
      <c r="F15" s="31"/>
      <c r="G15" s="31"/>
      <c r="H15" s="31"/>
      <c r="I15" s="31"/>
      <c r="J15" s="31"/>
      <c r="K15" s="31"/>
      <c r="L15" s="31"/>
      <c r="M15" s="31"/>
      <c r="N15" s="31"/>
      <c r="O15" s="31"/>
      <c r="P15" s="32"/>
    </row>
    <row r="16" spans="1:16" ht="15" customHeight="1" x14ac:dyDescent="0.25">
      <c r="A16" s="34"/>
      <c r="B16" s="31"/>
      <c r="C16" s="31"/>
      <c r="D16" s="31"/>
      <c r="E16" s="31"/>
      <c r="F16" s="31"/>
      <c r="G16" s="31"/>
      <c r="H16" s="31"/>
      <c r="I16" s="31"/>
      <c r="J16" s="31"/>
      <c r="K16" s="31"/>
      <c r="L16" s="31"/>
      <c r="M16" s="31"/>
      <c r="N16" s="31"/>
      <c r="O16" s="31"/>
      <c r="P16" s="32"/>
    </row>
    <row r="17" spans="1:16" ht="15" customHeight="1" x14ac:dyDescent="0.25">
      <c r="A17" s="34"/>
      <c r="B17" s="31"/>
      <c r="C17" s="31"/>
      <c r="D17" s="31"/>
      <c r="E17" s="31"/>
      <c r="F17" s="31"/>
      <c r="G17" s="31"/>
      <c r="H17" s="31"/>
      <c r="I17" s="31"/>
      <c r="J17" s="31"/>
      <c r="K17" s="31"/>
      <c r="L17" s="31"/>
      <c r="M17" s="31"/>
      <c r="N17" s="31"/>
      <c r="O17" s="31"/>
      <c r="P17" s="32"/>
    </row>
    <row r="18" spans="1:16" ht="15.75" customHeight="1" x14ac:dyDescent="0.25">
      <c r="A18" s="34"/>
      <c r="B18" s="31"/>
      <c r="C18" s="31"/>
      <c r="D18" s="31"/>
      <c r="E18" s="31"/>
      <c r="F18" s="31"/>
      <c r="G18" s="31"/>
      <c r="H18" s="31"/>
      <c r="I18" s="31"/>
      <c r="J18" s="31"/>
      <c r="K18" s="31"/>
      <c r="L18" s="31"/>
      <c r="M18" s="31"/>
      <c r="N18" s="31"/>
      <c r="O18" s="31"/>
      <c r="P18" s="32"/>
    </row>
    <row r="19" spans="1:16" ht="15.75" customHeight="1" x14ac:dyDescent="0.25">
      <c r="A19" s="34"/>
      <c r="B19" s="31"/>
      <c r="C19" s="31"/>
      <c r="D19" s="31"/>
      <c r="E19" s="31"/>
      <c r="F19" s="31"/>
      <c r="G19" s="31"/>
      <c r="H19" s="31"/>
      <c r="I19" s="31"/>
      <c r="J19" s="31"/>
      <c r="K19" s="31"/>
      <c r="L19" s="31"/>
      <c r="M19" s="31"/>
      <c r="N19" s="31"/>
      <c r="O19" s="31"/>
      <c r="P19" s="32"/>
    </row>
    <row r="20" spans="1:16" ht="15.75" customHeight="1" x14ac:dyDescent="0.25">
      <c r="A20" s="34"/>
      <c r="B20" s="31"/>
      <c r="C20" s="31"/>
      <c r="D20" s="31"/>
      <c r="E20" s="31"/>
      <c r="F20" s="31"/>
      <c r="G20" s="31"/>
      <c r="H20" s="31"/>
      <c r="I20" s="31"/>
      <c r="J20" s="31"/>
      <c r="K20" s="31"/>
      <c r="L20" s="31"/>
      <c r="M20" s="31"/>
      <c r="N20" s="31"/>
      <c r="O20" s="31"/>
      <c r="P20" s="32"/>
    </row>
    <row r="21" spans="1:16" ht="15.75" customHeight="1" x14ac:dyDescent="0.25">
      <c r="A21" s="34"/>
      <c r="B21" s="31"/>
      <c r="C21" s="31"/>
      <c r="D21" s="31"/>
      <c r="E21" s="31"/>
      <c r="F21" s="31"/>
      <c r="G21" s="31"/>
      <c r="H21" s="31"/>
      <c r="I21" s="31"/>
      <c r="J21" s="31"/>
      <c r="K21" s="31"/>
      <c r="L21" s="31"/>
      <c r="M21" s="31"/>
      <c r="N21" s="31"/>
      <c r="O21" s="31"/>
      <c r="P21" s="32"/>
    </row>
    <row r="22" spans="1:16" ht="15.75" customHeight="1" x14ac:dyDescent="0.25">
      <c r="A22" s="34"/>
      <c r="B22" s="31"/>
      <c r="C22" s="31"/>
      <c r="D22" s="31"/>
      <c r="E22" s="31"/>
      <c r="F22" s="31"/>
      <c r="G22" s="31"/>
      <c r="H22" s="31"/>
      <c r="I22" s="31"/>
      <c r="J22" s="31"/>
      <c r="K22" s="31"/>
      <c r="L22" s="31"/>
      <c r="M22" s="31"/>
      <c r="N22" s="31"/>
      <c r="O22" s="31"/>
      <c r="P22" s="32"/>
    </row>
    <row r="23" spans="1:16" ht="15.75" customHeight="1" x14ac:dyDescent="0.25">
      <c r="A23" s="34"/>
      <c r="B23" s="31"/>
      <c r="C23" s="31"/>
      <c r="D23" s="31"/>
      <c r="E23" s="31"/>
      <c r="F23" s="31"/>
      <c r="G23" s="31"/>
      <c r="H23" s="31"/>
      <c r="I23" s="31"/>
      <c r="J23" s="31"/>
      <c r="K23" s="31"/>
      <c r="L23" s="31"/>
      <c r="M23" s="31"/>
      <c r="N23" s="31"/>
      <c r="O23" s="31"/>
      <c r="P23" s="32"/>
    </row>
    <row r="24" spans="1:16" ht="15.75" customHeight="1" x14ac:dyDescent="0.25">
      <c r="A24" s="39" t="s">
        <v>133</v>
      </c>
      <c r="B24" s="31"/>
      <c r="C24" s="31"/>
      <c r="D24" s="31"/>
      <c r="E24" s="31"/>
      <c r="F24" s="31"/>
      <c r="G24" s="31"/>
      <c r="H24" s="31"/>
      <c r="I24" s="31"/>
      <c r="J24" s="31"/>
      <c r="K24" s="31"/>
      <c r="L24" s="31"/>
      <c r="M24" s="31"/>
      <c r="N24" s="31"/>
      <c r="O24" s="31"/>
      <c r="P24" s="32"/>
    </row>
    <row r="25" spans="1:16" ht="15.75" customHeight="1" x14ac:dyDescent="0.25">
      <c r="A25" s="38" t="s">
        <v>134</v>
      </c>
      <c r="B25" s="31"/>
      <c r="C25" s="31"/>
      <c r="D25" s="31"/>
      <c r="E25" s="31"/>
      <c r="F25" s="31"/>
      <c r="G25" s="31"/>
      <c r="H25" s="31"/>
      <c r="I25" s="31"/>
      <c r="J25" s="31"/>
      <c r="K25" s="31"/>
      <c r="L25" s="31"/>
      <c r="M25" s="31"/>
      <c r="N25" s="31"/>
      <c r="O25" s="31"/>
      <c r="P25" s="32"/>
    </row>
    <row r="26" spans="1:16" ht="15.75" customHeight="1" x14ac:dyDescent="0.25">
      <c r="A26" s="38" t="s">
        <v>135</v>
      </c>
      <c r="B26" s="31"/>
      <c r="C26" s="31"/>
      <c r="D26" s="31"/>
      <c r="E26" s="31"/>
      <c r="F26" s="31"/>
      <c r="G26" s="31"/>
      <c r="H26" s="31"/>
      <c r="I26" s="31"/>
      <c r="J26" s="31"/>
      <c r="K26" s="31"/>
      <c r="L26" s="31"/>
      <c r="M26" s="31"/>
      <c r="N26" s="31"/>
      <c r="O26" s="31"/>
      <c r="P26" s="32"/>
    </row>
    <row r="27" spans="1:16" ht="15.75" customHeight="1" x14ac:dyDescent="0.25">
      <c r="A27" s="38" t="s">
        <v>136</v>
      </c>
      <c r="B27" s="31"/>
      <c r="C27" s="31"/>
      <c r="D27" s="31"/>
      <c r="E27" s="31"/>
      <c r="F27" s="31"/>
      <c r="G27" s="31"/>
      <c r="H27" s="31"/>
      <c r="I27" s="31"/>
      <c r="J27" s="31"/>
      <c r="K27" s="31"/>
      <c r="L27" s="31"/>
      <c r="M27" s="31"/>
      <c r="N27" s="31"/>
      <c r="O27" s="31"/>
      <c r="P27" s="32"/>
    </row>
    <row r="28" spans="1:16" ht="15.75" customHeight="1" x14ac:dyDescent="0.25">
      <c r="A28" s="38" t="s">
        <v>137</v>
      </c>
      <c r="B28" s="31"/>
      <c r="C28" s="31"/>
      <c r="D28" s="31"/>
      <c r="E28" s="31"/>
      <c r="F28" s="31"/>
      <c r="G28" s="31"/>
      <c r="H28" s="31"/>
      <c r="I28" s="31"/>
      <c r="J28" s="31"/>
      <c r="K28" s="31"/>
      <c r="L28" s="31"/>
      <c r="M28" s="31"/>
      <c r="N28" s="31"/>
      <c r="O28" s="31"/>
      <c r="P28" s="32"/>
    </row>
    <row r="29" spans="1:16" ht="15.75" customHeight="1" x14ac:dyDescent="0.25">
      <c r="A29" s="38" t="s">
        <v>138</v>
      </c>
      <c r="B29" s="31"/>
      <c r="C29" s="31"/>
      <c r="D29" s="31"/>
      <c r="E29" s="31"/>
      <c r="F29" s="31"/>
      <c r="G29" s="31"/>
      <c r="H29" s="31"/>
      <c r="I29" s="31"/>
      <c r="J29" s="31"/>
      <c r="K29" s="31"/>
      <c r="L29" s="31"/>
      <c r="M29" s="31"/>
      <c r="N29" s="31"/>
      <c r="O29" s="31"/>
      <c r="P29" s="32"/>
    </row>
    <row r="30" spans="1:16" ht="15.75" customHeight="1" x14ac:dyDescent="0.25">
      <c r="A30" s="38" t="s">
        <v>139</v>
      </c>
      <c r="B30" s="31"/>
      <c r="C30" s="31"/>
      <c r="D30" s="31"/>
      <c r="E30" s="31"/>
      <c r="F30" s="31"/>
      <c r="G30" s="31"/>
      <c r="H30" s="31"/>
      <c r="I30" s="31"/>
      <c r="J30" s="31"/>
      <c r="K30" s="31"/>
      <c r="L30" s="31"/>
      <c r="M30" s="31"/>
      <c r="N30" s="31"/>
      <c r="O30" s="31"/>
      <c r="P30" s="32"/>
    </row>
    <row r="31" spans="1:16" ht="15.75" customHeight="1" x14ac:dyDescent="0.25">
      <c r="A31" s="38" t="s">
        <v>140</v>
      </c>
      <c r="B31" s="31"/>
      <c r="C31" s="31"/>
      <c r="D31" s="31"/>
      <c r="E31" s="31"/>
      <c r="F31" s="31"/>
      <c r="G31" s="31"/>
      <c r="H31" s="31"/>
      <c r="I31" s="31"/>
      <c r="J31" s="31"/>
      <c r="K31" s="31"/>
      <c r="L31" s="31"/>
      <c r="M31" s="31"/>
      <c r="N31" s="31"/>
      <c r="O31" s="31"/>
      <c r="P31" s="32"/>
    </row>
    <row r="32" spans="1:16" ht="15.75" customHeight="1" x14ac:dyDescent="0.25">
      <c r="A32" s="38" t="s">
        <v>141</v>
      </c>
      <c r="B32" s="31"/>
      <c r="C32" s="31"/>
      <c r="D32" s="31"/>
      <c r="E32" s="31"/>
      <c r="F32" s="31"/>
      <c r="G32" s="31"/>
      <c r="H32" s="31"/>
      <c r="I32" s="31"/>
      <c r="J32" s="31"/>
      <c r="K32" s="31"/>
      <c r="L32" s="31"/>
      <c r="M32" s="31"/>
      <c r="N32" s="31"/>
      <c r="O32" s="31"/>
      <c r="P32" s="32"/>
    </row>
    <row r="33" spans="1:16" ht="15.75" customHeight="1" x14ac:dyDescent="0.25">
      <c r="A33" s="34"/>
      <c r="B33" s="31"/>
      <c r="C33" s="31"/>
      <c r="D33" s="31"/>
      <c r="E33" s="31"/>
      <c r="F33" s="31"/>
      <c r="G33" s="31"/>
      <c r="H33" s="31"/>
      <c r="I33" s="31"/>
      <c r="J33" s="31"/>
      <c r="K33" s="31"/>
      <c r="L33" s="31"/>
      <c r="M33" s="31"/>
      <c r="N33" s="31"/>
      <c r="O33" s="31"/>
      <c r="P33" s="32"/>
    </row>
    <row r="34" spans="1:16" ht="15.75" customHeight="1" x14ac:dyDescent="0.25">
      <c r="A34" s="40" t="s">
        <v>142</v>
      </c>
      <c r="B34" s="31"/>
      <c r="C34" s="31"/>
      <c r="D34" s="31"/>
      <c r="E34" s="31"/>
      <c r="F34" s="31"/>
      <c r="G34" s="31"/>
      <c r="H34" s="31"/>
      <c r="I34" s="31"/>
      <c r="J34" s="31"/>
      <c r="K34" s="31"/>
      <c r="L34" s="31"/>
      <c r="M34" s="31"/>
      <c r="N34" s="31"/>
      <c r="O34" s="31"/>
      <c r="P34" s="32"/>
    </row>
    <row r="35" spans="1:16" ht="15.75" customHeight="1" x14ac:dyDescent="0.25">
      <c r="A35" s="40"/>
      <c r="B35" s="31"/>
      <c r="C35" s="31"/>
      <c r="D35" s="31"/>
      <c r="E35" s="31"/>
      <c r="F35" s="31"/>
      <c r="G35" s="31"/>
      <c r="H35" s="31"/>
      <c r="I35" s="31"/>
      <c r="J35" s="31"/>
      <c r="K35" s="31"/>
      <c r="L35" s="31"/>
      <c r="M35" s="31"/>
      <c r="N35" s="31"/>
      <c r="O35" s="31"/>
      <c r="P35" s="32"/>
    </row>
    <row r="36" spans="1:16" ht="15.75" customHeight="1" x14ac:dyDescent="0.25">
      <c r="A36" s="41" t="s">
        <v>143</v>
      </c>
      <c r="B36" s="31"/>
      <c r="C36" s="31"/>
      <c r="D36" s="31"/>
      <c r="E36" s="31"/>
      <c r="F36" s="31"/>
      <c r="G36" s="31"/>
      <c r="H36" s="31"/>
      <c r="I36" s="31"/>
      <c r="J36" s="31"/>
      <c r="K36" s="31"/>
      <c r="L36" s="31"/>
      <c r="M36" s="31"/>
      <c r="N36" s="31"/>
      <c r="O36" s="31"/>
      <c r="P36" s="32"/>
    </row>
    <row r="37" spans="1:16" ht="15.75" customHeight="1" x14ac:dyDescent="0.25">
      <c r="A37" s="34"/>
      <c r="B37" s="31"/>
      <c r="C37" s="31"/>
      <c r="D37" s="31"/>
      <c r="E37" s="31"/>
      <c r="F37" s="31"/>
      <c r="G37" s="31"/>
      <c r="H37" s="31"/>
      <c r="I37" s="31"/>
      <c r="J37" s="31"/>
      <c r="K37" s="31"/>
      <c r="L37" s="31"/>
      <c r="M37" s="31"/>
      <c r="N37" s="31"/>
      <c r="O37" s="31"/>
      <c r="P37" s="32"/>
    </row>
    <row r="38" spans="1:16" ht="15.75" customHeight="1" x14ac:dyDescent="0.25">
      <c r="A38" s="34"/>
      <c r="B38" s="31"/>
      <c r="C38" s="31"/>
      <c r="D38" s="31"/>
      <c r="E38" s="31"/>
      <c r="F38" s="31"/>
      <c r="G38" s="31"/>
      <c r="H38" s="31"/>
      <c r="I38" s="31"/>
      <c r="J38" s="31"/>
      <c r="K38" s="31"/>
      <c r="L38" s="31"/>
      <c r="M38" s="31"/>
      <c r="N38" s="31"/>
      <c r="O38" s="31"/>
      <c r="P38" s="32"/>
    </row>
    <row r="39" spans="1:16" ht="15.75" customHeight="1" x14ac:dyDescent="0.25">
      <c r="A39" s="34"/>
      <c r="B39" s="31"/>
      <c r="C39" s="31"/>
      <c r="D39" s="31"/>
      <c r="E39" s="31"/>
      <c r="F39" s="31"/>
      <c r="G39" s="31"/>
      <c r="H39" s="31"/>
      <c r="I39" s="31"/>
      <c r="J39" s="31"/>
      <c r="K39" s="31"/>
      <c r="L39" s="31"/>
      <c r="M39" s="31"/>
      <c r="N39" s="31"/>
      <c r="O39" s="31"/>
      <c r="P39" s="32"/>
    </row>
    <row r="40" spans="1:16" ht="15.75" customHeight="1" x14ac:dyDescent="0.25">
      <c r="A40" s="34"/>
      <c r="B40" s="31"/>
      <c r="C40" s="31"/>
      <c r="D40" s="31"/>
      <c r="E40" s="31"/>
      <c r="F40" s="31"/>
      <c r="G40" s="31"/>
      <c r="H40" s="31"/>
      <c r="I40" s="31"/>
      <c r="J40" s="31"/>
      <c r="K40" s="31"/>
      <c r="L40" s="31"/>
      <c r="M40" s="31"/>
      <c r="N40" s="31"/>
      <c r="O40" s="31"/>
      <c r="P40" s="32"/>
    </row>
    <row r="41" spans="1:16" ht="15.75" customHeight="1" x14ac:dyDescent="0.25">
      <c r="A41" s="34"/>
      <c r="B41" s="31"/>
      <c r="C41" s="31"/>
      <c r="D41" s="31"/>
      <c r="E41" s="31"/>
      <c r="F41" s="31"/>
      <c r="G41" s="31"/>
      <c r="H41" s="31"/>
      <c r="I41" s="31"/>
      <c r="J41" s="31"/>
      <c r="K41" s="31"/>
      <c r="L41" s="31"/>
      <c r="M41" s="31"/>
      <c r="N41" s="31"/>
      <c r="O41" s="31"/>
      <c r="P41" s="32"/>
    </row>
    <row r="42" spans="1:16" ht="15.75" customHeight="1" x14ac:dyDescent="0.25">
      <c r="A42" s="34"/>
      <c r="B42" s="31"/>
      <c r="C42" s="31"/>
      <c r="D42" s="31"/>
      <c r="E42" s="31"/>
      <c r="F42" s="31"/>
      <c r="G42" s="31"/>
      <c r="H42" s="31"/>
      <c r="I42" s="31"/>
      <c r="J42" s="31"/>
      <c r="K42" s="31"/>
      <c r="L42" s="31"/>
      <c r="M42" s="31"/>
      <c r="N42" s="31"/>
      <c r="O42" s="31"/>
      <c r="P42" s="32"/>
    </row>
    <row r="43" spans="1:16" ht="15.75" customHeight="1" x14ac:dyDescent="0.25">
      <c r="A43" s="34"/>
      <c r="B43" s="31"/>
      <c r="C43" s="31"/>
      <c r="D43" s="31"/>
      <c r="E43" s="31"/>
      <c r="F43" s="31"/>
      <c r="G43" s="31"/>
      <c r="H43" s="31"/>
      <c r="I43" s="31"/>
      <c r="J43" s="31"/>
      <c r="K43" s="31"/>
      <c r="L43" s="31"/>
      <c r="M43" s="31"/>
      <c r="N43" s="31"/>
      <c r="O43" s="31"/>
      <c r="P43" s="32"/>
    </row>
    <row r="44" spans="1:16" ht="43.5" customHeight="1" x14ac:dyDescent="0.25">
      <c r="A44" s="34"/>
      <c r="B44" s="31"/>
      <c r="C44" s="31"/>
      <c r="D44" s="31"/>
      <c r="E44" s="31"/>
      <c r="F44" s="31"/>
      <c r="G44" s="31"/>
      <c r="H44" s="31"/>
      <c r="I44" s="31"/>
      <c r="J44" s="31"/>
      <c r="K44" s="31"/>
      <c r="L44" s="31"/>
      <c r="M44" s="31"/>
      <c r="N44" s="31"/>
      <c r="O44" s="31"/>
      <c r="P44" s="32"/>
    </row>
    <row r="45" spans="1:16" ht="15.75" customHeight="1" x14ac:dyDescent="0.25">
      <c r="A45" s="34"/>
      <c r="B45" s="31"/>
      <c r="C45" s="31"/>
      <c r="D45" s="31"/>
      <c r="E45" s="31"/>
      <c r="F45" s="31"/>
      <c r="G45" s="31"/>
      <c r="H45" s="31"/>
      <c r="I45" s="31"/>
      <c r="J45" s="31"/>
      <c r="K45" s="31"/>
      <c r="L45" s="31"/>
      <c r="M45" s="31"/>
      <c r="N45" s="31"/>
      <c r="O45" s="31"/>
      <c r="P45" s="32"/>
    </row>
    <row r="46" spans="1:16" ht="15.75" customHeight="1" x14ac:dyDescent="0.25">
      <c r="A46" s="34"/>
      <c r="B46" s="31"/>
      <c r="C46" s="31"/>
      <c r="D46" s="31"/>
      <c r="E46" s="31"/>
      <c r="F46" s="31"/>
      <c r="G46" s="31"/>
      <c r="H46" s="31"/>
      <c r="I46" s="31"/>
      <c r="J46" s="31"/>
      <c r="K46" s="31"/>
      <c r="L46" s="31"/>
      <c r="M46" s="31"/>
      <c r="N46" s="31"/>
      <c r="O46" s="31"/>
      <c r="P46" s="32"/>
    </row>
    <row r="47" spans="1:16" ht="15.75" customHeight="1" x14ac:dyDescent="0.25">
      <c r="A47" s="34"/>
      <c r="B47" s="31"/>
      <c r="C47" s="31"/>
      <c r="D47" s="31"/>
      <c r="E47" s="31"/>
      <c r="F47" s="31"/>
      <c r="G47" s="31"/>
      <c r="H47" s="31"/>
      <c r="I47" s="31"/>
      <c r="J47" s="31"/>
      <c r="K47" s="31"/>
      <c r="L47" s="31"/>
      <c r="M47" s="31"/>
      <c r="N47" s="31"/>
      <c r="O47" s="31"/>
      <c r="P47" s="32"/>
    </row>
    <row r="48" spans="1:16" ht="15.75" customHeight="1" x14ac:dyDescent="0.25">
      <c r="A48" s="34"/>
      <c r="B48" s="31"/>
      <c r="C48" s="31"/>
      <c r="D48" s="31"/>
      <c r="E48" s="31"/>
      <c r="F48" s="31"/>
      <c r="G48" s="31"/>
      <c r="H48" s="31"/>
      <c r="I48" s="31"/>
      <c r="J48" s="31"/>
      <c r="K48" s="31"/>
      <c r="L48" s="31"/>
      <c r="M48" s="31"/>
      <c r="N48" s="31"/>
      <c r="O48" s="31"/>
      <c r="P48" s="32"/>
    </row>
    <row r="49" spans="1:16" ht="15.75" customHeight="1" x14ac:dyDescent="0.25">
      <c r="A49" s="34"/>
      <c r="B49" s="31"/>
      <c r="C49" s="31"/>
      <c r="D49" s="31"/>
      <c r="E49" s="31"/>
      <c r="F49" s="31"/>
      <c r="G49" s="31"/>
      <c r="H49" s="31"/>
      <c r="I49" s="31"/>
      <c r="J49" s="31"/>
      <c r="K49" s="31"/>
      <c r="L49" s="31"/>
      <c r="M49" s="31"/>
      <c r="N49" s="31"/>
      <c r="O49" s="31"/>
      <c r="P49" s="32"/>
    </row>
    <row r="50" spans="1:16" ht="15.75" customHeight="1" x14ac:dyDescent="0.25">
      <c r="A50" s="34"/>
      <c r="B50" s="31"/>
      <c r="C50" s="31"/>
      <c r="D50" s="31"/>
      <c r="E50" s="31"/>
      <c r="F50" s="31"/>
      <c r="G50" s="31"/>
      <c r="H50" s="31"/>
      <c r="I50" s="31"/>
      <c r="J50" s="31"/>
      <c r="K50" s="31"/>
      <c r="L50" s="31"/>
      <c r="M50" s="31"/>
      <c r="N50" s="31"/>
      <c r="O50" s="31"/>
      <c r="P50" s="32"/>
    </row>
    <row r="51" spans="1:16" ht="15.75" customHeight="1" x14ac:dyDescent="0.25">
      <c r="A51" s="34"/>
      <c r="B51" s="31"/>
      <c r="C51" s="31"/>
      <c r="D51" s="31"/>
      <c r="E51" s="31"/>
      <c r="F51" s="31"/>
      <c r="G51" s="31"/>
      <c r="H51" s="31"/>
      <c r="I51" s="31"/>
      <c r="J51" s="31"/>
      <c r="K51" s="31"/>
      <c r="L51" s="31"/>
      <c r="M51" s="31"/>
      <c r="N51" s="31"/>
      <c r="O51" s="31"/>
      <c r="P51" s="32"/>
    </row>
    <row r="52" spans="1:16" ht="15.75" customHeight="1" x14ac:dyDescent="0.25">
      <c r="A52" s="34"/>
      <c r="B52" s="31"/>
      <c r="C52" s="31"/>
      <c r="D52" s="31"/>
      <c r="E52" s="31"/>
      <c r="F52" s="31"/>
      <c r="G52" s="31"/>
      <c r="H52" s="31"/>
      <c r="I52" s="31"/>
      <c r="J52" s="31"/>
      <c r="K52" s="31"/>
      <c r="L52" s="31"/>
      <c r="M52" s="31"/>
      <c r="N52" s="31"/>
      <c r="O52" s="31"/>
      <c r="P52" s="32"/>
    </row>
    <row r="53" spans="1:16" ht="15.75" customHeight="1" x14ac:dyDescent="0.25">
      <c r="A53" s="34"/>
      <c r="B53" s="31"/>
      <c r="C53" s="31"/>
      <c r="D53" s="31"/>
      <c r="E53" s="31"/>
      <c r="F53" s="31"/>
      <c r="G53" s="31"/>
      <c r="H53" s="31"/>
      <c r="I53" s="31"/>
      <c r="J53" s="31"/>
      <c r="K53" s="31"/>
      <c r="L53" s="31"/>
      <c r="M53" s="31"/>
      <c r="N53" s="31"/>
      <c r="O53" s="31"/>
      <c r="P53" s="32"/>
    </row>
    <row r="54" spans="1:16" ht="15.75" customHeight="1" x14ac:dyDescent="0.25">
      <c r="A54" s="34"/>
      <c r="B54" s="31"/>
      <c r="C54" s="31"/>
      <c r="D54" s="31"/>
      <c r="E54" s="31"/>
      <c r="F54" s="31"/>
      <c r="G54" s="31"/>
      <c r="H54" s="31"/>
      <c r="I54" s="31"/>
      <c r="J54" s="31"/>
      <c r="K54" s="31"/>
      <c r="L54" s="31"/>
      <c r="M54" s="31"/>
      <c r="N54" s="31"/>
      <c r="O54" s="31"/>
      <c r="P54" s="32"/>
    </row>
    <row r="55" spans="1:16" ht="15.75" customHeight="1" x14ac:dyDescent="0.25">
      <c r="A55" s="37"/>
      <c r="B55" s="31"/>
      <c r="C55" s="31"/>
      <c r="D55" s="31"/>
      <c r="E55" s="31"/>
      <c r="F55" s="31"/>
      <c r="G55" s="31"/>
      <c r="H55" s="31"/>
      <c r="I55" s="31"/>
      <c r="J55" s="31"/>
      <c r="K55" s="31"/>
      <c r="L55" s="31"/>
      <c r="M55" s="31"/>
      <c r="N55" s="31"/>
      <c r="O55" s="31"/>
      <c r="P55" s="32"/>
    </row>
    <row r="56" spans="1:16" ht="15.75" customHeight="1" x14ac:dyDescent="0.25">
      <c r="A56" s="37" t="s">
        <v>144</v>
      </c>
      <c r="B56" s="31"/>
      <c r="C56" s="31"/>
      <c r="D56" s="31"/>
      <c r="E56" s="31"/>
      <c r="F56" s="31"/>
      <c r="G56" s="31"/>
      <c r="H56" s="31"/>
      <c r="I56" s="31"/>
      <c r="J56" s="31"/>
      <c r="K56" s="31"/>
      <c r="L56" s="31"/>
      <c r="M56" s="31"/>
      <c r="N56" s="31"/>
      <c r="O56" s="31"/>
      <c r="P56" s="32"/>
    </row>
    <row r="57" spans="1:16" ht="15.75" customHeight="1" x14ac:dyDescent="0.25">
      <c r="A57" s="35" t="s">
        <v>145</v>
      </c>
      <c r="B57" s="31"/>
      <c r="C57" s="31"/>
      <c r="D57" s="31"/>
      <c r="E57" s="31"/>
      <c r="F57" s="31"/>
      <c r="G57" s="31"/>
      <c r="H57" s="31"/>
      <c r="I57" s="31"/>
      <c r="J57" s="31"/>
      <c r="K57" s="31"/>
      <c r="L57" s="31"/>
      <c r="M57" s="31"/>
      <c r="N57" s="31"/>
      <c r="O57" s="31"/>
      <c r="P57" s="32"/>
    </row>
    <row r="58" spans="1:16" ht="15.75" customHeight="1" x14ac:dyDescent="0.25">
      <c r="A58" s="36" t="s">
        <v>146</v>
      </c>
      <c r="B58" s="31"/>
      <c r="C58" s="31"/>
      <c r="D58" s="31"/>
      <c r="E58" s="31"/>
      <c r="F58" s="31"/>
      <c r="G58" s="31"/>
      <c r="H58" s="31"/>
      <c r="I58" s="31"/>
      <c r="J58" s="31"/>
      <c r="K58" s="31"/>
      <c r="L58" s="31"/>
      <c r="M58" s="31"/>
      <c r="N58" s="31"/>
      <c r="O58" s="31"/>
      <c r="P58" s="32"/>
    </row>
    <row r="59" spans="1:16" ht="15.75" customHeight="1" x14ac:dyDescent="0.25">
      <c r="A59" s="35" t="s">
        <v>147</v>
      </c>
      <c r="B59" s="31"/>
      <c r="C59" s="31"/>
      <c r="D59" s="31"/>
      <c r="E59" s="31"/>
      <c r="F59" s="31"/>
      <c r="G59" s="31"/>
      <c r="H59" s="31"/>
      <c r="I59" s="31"/>
      <c r="J59" s="31"/>
      <c r="K59" s="31"/>
      <c r="L59" s="31"/>
      <c r="M59" s="31"/>
      <c r="N59" s="31"/>
      <c r="O59" s="31"/>
      <c r="P59" s="32"/>
    </row>
    <row r="60" spans="1:16" ht="15.75" customHeight="1" x14ac:dyDescent="0.25">
      <c r="A60" s="35"/>
      <c r="B60" s="31"/>
      <c r="C60" s="31"/>
      <c r="D60" s="31"/>
      <c r="E60" s="31"/>
      <c r="F60" s="31"/>
      <c r="G60" s="31"/>
      <c r="H60" s="31"/>
      <c r="I60" s="31"/>
      <c r="J60" s="31"/>
      <c r="K60" s="31"/>
      <c r="L60" s="31"/>
      <c r="M60" s="31"/>
      <c r="N60" s="31"/>
      <c r="O60" s="31"/>
      <c r="P60" s="32"/>
    </row>
    <row r="61" spans="1:16" ht="15.75" customHeight="1" x14ac:dyDescent="0.25">
      <c r="A61" s="35" t="s">
        <v>148</v>
      </c>
      <c r="B61" s="31"/>
      <c r="C61" s="31"/>
      <c r="D61" s="31"/>
      <c r="E61" s="31"/>
      <c r="F61" s="31"/>
      <c r="G61" s="31"/>
      <c r="H61" s="31"/>
      <c r="I61" s="31"/>
      <c r="J61" s="31"/>
      <c r="K61" s="31"/>
      <c r="L61" s="31"/>
      <c r="M61" s="31"/>
      <c r="N61" s="31"/>
      <c r="O61" s="31"/>
      <c r="P61" s="32"/>
    </row>
    <row r="62" spans="1:16" ht="15.75" customHeight="1" x14ac:dyDescent="0.25">
      <c r="A62" s="34"/>
      <c r="B62" s="31"/>
      <c r="C62" s="31"/>
      <c r="D62" s="31"/>
      <c r="E62" s="31"/>
      <c r="F62" s="31"/>
      <c r="G62" s="31"/>
      <c r="H62" s="31"/>
      <c r="I62" s="31"/>
      <c r="J62" s="31"/>
      <c r="K62" s="31"/>
      <c r="L62" s="31"/>
      <c r="M62" s="31"/>
      <c r="N62" s="31"/>
      <c r="O62" s="31"/>
      <c r="P62" s="32"/>
    </row>
    <row r="63" spans="1:16" ht="15.75" customHeight="1" x14ac:dyDescent="0.25">
      <c r="A63" s="34"/>
      <c r="B63" s="31"/>
      <c r="C63" s="31"/>
      <c r="D63" s="31"/>
      <c r="E63" s="31"/>
      <c r="F63" s="31"/>
      <c r="G63" s="31"/>
      <c r="H63" s="31"/>
      <c r="I63" s="31"/>
      <c r="J63" s="31"/>
      <c r="K63" s="31"/>
      <c r="L63" s="31"/>
      <c r="M63" s="31"/>
      <c r="N63" s="31"/>
      <c r="O63" s="31"/>
      <c r="P63" s="32"/>
    </row>
    <row r="64" spans="1:16" ht="15.75" customHeight="1" x14ac:dyDescent="0.25">
      <c r="A64" s="34"/>
      <c r="B64" s="31"/>
      <c r="C64" s="31"/>
      <c r="D64" s="31"/>
      <c r="E64" s="31"/>
      <c r="F64" s="31"/>
      <c r="G64" s="31"/>
      <c r="H64" s="31"/>
      <c r="I64" s="31"/>
      <c r="J64" s="31"/>
      <c r="K64" s="31"/>
      <c r="L64" s="31"/>
      <c r="M64" s="31"/>
      <c r="N64" s="31"/>
      <c r="O64" s="31"/>
      <c r="P64" s="32"/>
    </row>
    <row r="65" spans="1:16" ht="15.75" customHeight="1" x14ac:dyDescent="0.25">
      <c r="A65" s="34"/>
      <c r="B65" s="31"/>
      <c r="C65" s="31"/>
      <c r="D65" s="31"/>
      <c r="E65" s="31"/>
      <c r="F65" s="31"/>
      <c r="G65" s="31"/>
      <c r="H65" s="31"/>
      <c r="I65" s="31"/>
      <c r="J65" s="31"/>
      <c r="K65" s="31"/>
      <c r="L65" s="31"/>
      <c r="M65" s="31"/>
      <c r="N65" s="31"/>
      <c r="O65" s="31"/>
      <c r="P65" s="32"/>
    </row>
    <row r="66" spans="1:16" ht="15.75" customHeight="1" x14ac:dyDescent="0.25">
      <c r="A66" s="34"/>
      <c r="B66" s="31"/>
      <c r="C66" s="31"/>
      <c r="D66" s="31"/>
      <c r="E66" s="31"/>
      <c r="F66" s="31"/>
      <c r="G66" s="31"/>
      <c r="H66" s="31"/>
      <c r="I66" s="31"/>
      <c r="J66" s="31"/>
      <c r="K66" s="31"/>
      <c r="L66" s="31"/>
      <c r="M66" s="31"/>
      <c r="N66" s="31"/>
      <c r="O66" s="31"/>
      <c r="P66" s="32"/>
    </row>
    <row r="67" spans="1:16" ht="15.75" customHeight="1" x14ac:dyDescent="0.25">
      <c r="A67" s="34"/>
      <c r="B67" s="31"/>
      <c r="C67" s="31"/>
      <c r="D67" s="31"/>
      <c r="E67" s="31"/>
      <c r="F67" s="31"/>
      <c r="G67" s="31"/>
      <c r="H67" s="31"/>
      <c r="I67" s="31"/>
      <c r="J67" s="31"/>
      <c r="K67" s="31"/>
      <c r="L67" s="31"/>
      <c r="M67" s="31"/>
      <c r="N67" s="31"/>
      <c r="O67" s="31"/>
      <c r="P67" s="32"/>
    </row>
    <row r="68" spans="1:16" ht="15.75" customHeight="1" x14ac:dyDescent="0.25">
      <c r="A68" s="34"/>
      <c r="B68" s="31"/>
      <c r="C68" s="31"/>
      <c r="D68" s="31"/>
      <c r="E68" s="31"/>
      <c r="F68" s="31"/>
      <c r="G68" s="31"/>
      <c r="H68" s="31"/>
      <c r="I68" s="31"/>
      <c r="J68" s="31"/>
      <c r="K68" s="31"/>
      <c r="L68" s="31"/>
      <c r="M68" s="31"/>
      <c r="N68" s="31"/>
      <c r="O68" s="31"/>
      <c r="P68" s="32"/>
    </row>
    <row r="69" spans="1:16" ht="15.75" customHeight="1" x14ac:dyDescent="0.25">
      <c r="A69" s="34"/>
      <c r="B69" s="31"/>
      <c r="C69" s="31"/>
      <c r="D69" s="31"/>
      <c r="E69" s="31"/>
      <c r="F69" s="31"/>
      <c r="G69" s="31"/>
      <c r="H69" s="31"/>
      <c r="I69" s="31"/>
      <c r="J69" s="31"/>
      <c r="K69" s="31"/>
      <c r="L69" s="31"/>
      <c r="M69" s="31"/>
      <c r="N69" s="31"/>
      <c r="O69" s="31"/>
      <c r="P69" s="32"/>
    </row>
    <row r="70" spans="1:16" ht="15.75" customHeight="1" x14ac:dyDescent="0.25">
      <c r="A70" s="34"/>
      <c r="B70" s="31"/>
      <c r="C70" s="31"/>
      <c r="D70" s="31"/>
      <c r="E70" s="31"/>
      <c r="F70" s="31"/>
      <c r="G70" s="31"/>
      <c r="H70" s="31"/>
      <c r="I70" s="31"/>
      <c r="J70" s="31"/>
      <c r="K70" s="31"/>
      <c r="L70" s="31"/>
      <c r="M70" s="31"/>
      <c r="N70" s="31"/>
      <c r="O70" s="31"/>
      <c r="P70" s="32"/>
    </row>
    <row r="71" spans="1:16" ht="15.75" customHeight="1" x14ac:dyDescent="0.25">
      <c r="A71" s="34"/>
      <c r="B71" s="31"/>
      <c r="C71" s="31"/>
      <c r="D71" s="31"/>
      <c r="E71" s="31"/>
      <c r="F71" s="31"/>
      <c r="G71" s="31"/>
      <c r="H71" s="31"/>
      <c r="I71" s="31"/>
      <c r="J71" s="31"/>
      <c r="K71" s="31"/>
      <c r="L71" s="31"/>
      <c r="M71" s="31"/>
      <c r="N71" s="31"/>
      <c r="O71" s="31"/>
      <c r="P71" s="32"/>
    </row>
    <row r="72" spans="1:16" ht="15.75" customHeight="1" x14ac:dyDescent="0.25">
      <c r="A72" s="34"/>
      <c r="B72" s="31"/>
      <c r="C72" s="31"/>
      <c r="D72" s="31"/>
      <c r="E72" s="31"/>
      <c r="F72" s="31"/>
      <c r="G72" s="31"/>
      <c r="H72" s="31"/>
      <c r="I72" s="31"/>
      <c r="J72" s="31"/>
      <c r="K72" s="31"/>
      <c r="L72" s="31"/>
      <c r="M72" s="31"/>
      <c r="N72" s="31"/>
      <c r="O72" s="31"/>
      <c r="P72" s="32"/>
    </row>
    <row r="73" spans="1:16" ht="15.75" customHeight="1" x14ac:dyDescent="0.25">
      <c r="A73" s="34"/>
      <c r="B73" s="31"/>
      <c r="C73" s="31"/>
      <c r="D73" s="31"/>
      <c r="E73" s="31"/>
      <c r="F73" s="31"/>
      <c r="G73" s="31"/>
      <c r="H73" s="31"/>
      <c r="I73" s="31"/>
      <c r="J73" s="31"/>
      <c r="K73" s="31"/>
      <c r="L73" s="31"/>
      <c r="M73" s="31"/>
      <c r="N73" s="31"/>
      <c r="O73" s="31"/>
      <c r="P73" s="32"/>
    </row>
    <row r="74" spans="1:16" ht="15.75" customHeight="1" x14ac:dyDescent="0.25">
      <c r="A74" s="34"/>
      <c r="B74" s="31"/>
      <c r="C74" s="31"/>
      <c r="D74" s="31"/>
      <c r="E74" s="31"/>
      <c r="F74" s="31"/>
      <c r="G74" s="31"/>
      <c r="H74" s="31"/>
      <c r="I74" s="31"/>
      <c r="J74" s="31"/>
      <c r="K74" s="31"/>
      <c r="L74" s="31"/>
      <c r="M74" s="31"/>
      <c r="N74" s="31"/>
      <c r="O74" s="31"/>
      <c r="P74" s="32"/>
    </row>
    <row r="75" spans="1:16" ht="15.75" customHeight="1" x14ac:dyDescent="0.25">
      <c r="A75" s="34"/>
      <c r="B75" s="31"/>
      <c r="C75" s="31"/>
      <c r="D75" s="31"/>
      <c r="E75" s="31"/>
      <c r="F75" s="31"/>
      <c r="G75" s="31"/>
      <c r="H75" s="31"/>
      <c r="I75" s="31"/>
      <c r="J75" s="31"/>
      <c r="K75" s="31"/>
      <c r="L75" s="31"/>
      <c r="M75" s="31"/>
      <c r="N75" s="31"/>
      <c r="O75" s="31"/>
      <c r="P75" s="32"/>
    </row>
    <row r="76" spans="1:16" ht="15.75" customHeight="1" x14ac:dyDescent="0.25">
      <c r="A76" s="34"/>
      <c r="B76" s="31"/>
      <c r="C76" s="31"/>
      <c r="D76" s="31"/>
      <c r="E76" s="31"/>
      <c r="F76" s="31"/>
      <c r="G76" s="31"/>
      <c r="H76" s="31"/>
      <c r="I76" s="31"/>
      <c r="J76" s="31"/>
      <c r="K76" s="31"/>
      <c r="L76" s="31"/>
      <c r="M76" s="31"/>
      <c r="N76" s="31"/>
      <c r="O76" s="31"/>
      <c r="P76" s="32"/>
    </row>
    <row r="77" spans="1:16" ht="15.75" customHeight="1" x14ac:dyDescent="0.25">
      <c r="A77" s="34"/>
      <c r="B77" s="31"/>
      <c r="C77" s="31"/>
      <c r="D77" s="31"/>
      <c r="E77" s="31"/>
      <c r="F77" s="31"/>
      <c r="G77" s="31"/>
      <c r="H77" s="31"/>
      <c r="I77" s="31"/>
      <c r="J77" s="31"/>
      <c r="K77" s="31"/>
      <c r="L77" s="31"/>
      <c r="M77" s="31"/>
      <c r="N77" s="31"/>
      <c r="O77" s="31"/>
      <c r="P77" s="32"/>
    </row>
    <row r="78" spans="1:16" ht="15.75" customHeight="1" x14ac:dyDescent="0.25">
      <c r="A78" s="34"/>
      <c r="B78" s="31"/>
      <c r="C78" s="31"/>
      <c r="D78" s="31"/>
      <c r="E78" s="31"/>
      <c r="F78" s="31"/>
      <c r="G78" s="31"/>
      <c r="H78" s="31"/>
      <c r="I78" s="31"/>
      <c r="J78" s="31"/>
      <c r="K78" s="31"/>
      <c r="L78" s="31"/>
      <c r="M78" s="31"/>
      <c r="N78" s="31"/>
      <c r="O78" s="31"/>
      <c r="P78" s="32"/>
    </row>
    <row r="79" spans="1:16" ht="15.75" customHeight="1" x14ac:dyDescent="0.25">
      <c r="A79" s="34"/>
      <c r="B79" s="31"/>
      <c r="C79" s="31"/>
      <c r="D79" s="31"/>
      <c r="E79" s="31"/>
      <c r="F79" s="31"/>
      <c r="G79" s="31"/>
      <c r="H79" s="31"/>
      <c r="I79" s="31"/>
      <c r="J79" s="31"/>
      <c r="K79" s="31"/>
      <c r="L79" s="31"/>
      <c r="M79" s="31"/>
      <c r="N79" s="31"/>
      <c r="O79" s="31"/>
      <c r="P79" s="32"/>
    </row>
    <row r="80" spans="1:16" ht="15.75" customHeight="1" x14ac:dyDescent="0.25">
      <c r="A80" s="34"/>
      <c r="B80" s="31"/>
      <c r="C80" s="31"/>
      <c r="D80" s="31"/>
      <c r="E80" s="31"/>
      <c r="F80" s="31"/>
      <c r="G80" s="31"/>
      <c r="H80" s="31"/>
      <c r="I80" s="31"/>
      <c r="J80" s="31"/>
      <c r="K80" s="31"/>
      <c r="L80" s="31"/>
      <c r="M80" s="31"/>
      <c r="N80" s="31"/>
      <c r="O80" s="31"/>
      <c r="P80" s="32"/>
    </row>
    <row r="81" spans="1:16" ht="15.75" customHeight="1" x14ac:dyDescent="0.25">
      <c r="A81" s="34"/>
      <c r="B81" s="31"/>
      <c r="C81" s="31"/>
      <c r="D81" s="31"/>
      <c r="E81" s="31"/>
      <c r="F81" s="31"/>
      <c r="G81" s="31"/>
      <c r="H81" s="31"/>
      <c r="I81" s="31"/>
      <c r="J81" s="31"/>
      <c r="K81" s="31"/>
      <c r="L81" s="31"/>
      <c r="M81" s="31"/>
      <c r="N81" s="31"/>
      <c r="O81" s="31"/>
      <c r="P81" s="32"/>
    </row>
    <row r="82" spans="1:16" ht="15.75" customHeight="1" x14ac:dyDescent="0.25">
      <c r="A82" s="34"/>
      <c r="B82" s="31"/>
      <c r="C82" s="31"/>
      <c r="D82" s="31"/>
      <c r="E82" s="31"/>
      <c r="F82" s="31"/>
      <c r="G82" s="31"/>
      <c r="H82" s="31"/>
      <c r="I82" s="31"/>
      <c r="J82" s="31"/>
      <c r="K82" s="31"/>
      <c r="L82" s="31"/>
      <c r="M82" s="31"/>
      <c r="N82" s="31"/>
      <c r="O82" s="31"/>
      <c r="P82" s="32"/>
    </row>
    <row r="83" spans="1:16" ht="15.75" customHeight="1" x14ac:dyDescent="0.25">
      <c r="A83" s="34"/>
      <c r="B83" s="31"/>
      <c r="C83" s="31"/>
      <c r="D83" s="31"/>
      <c r="E83" s="31"/>
      <c r="F83" s="31"/>
      <c r="G83" s="31"/>
      <c r="H83" s="31"/>
      <c r="I83" s="31"/>
      <c r="J83" s="31"/>
      <c r="K83" s="31"/>
      <c r="L83" s="31"/>
      <c r="M83" s="31"/>
      <c r="N83" s="31"/>
      <c r="O83" s="31"/>
      <c r="P83" s="32"/>
    </row>
    <row r="84" spans="1:16" ht="15.75" customHeight="1" x14ac:dyDescent="0.25">
      <c r="A84" s="34"/>
      <c r="B84" s="31"/>
      <c r="C84" s="31"/>
      <c r="D84" s="31"/>
      <c r="E84" s="31"/>
      <c r="F84" s="31"/>
      <c r="G84" s="31"/>
      <c r="H84" s="31"/>
      <c r="I84" s="31"/>
      <c r="J84" s="31"/>
      <c r="K84" s="31"/>
      <c r="L84" s="31"/>
      <c r="M84" s="31"/>
      <c r="N84" s="31"/>
      <c r="O84" s="31"/>
      <c r="P84" s="32"/>
    </row>
    <row r="85" spans="1:16" ht="15.75" customHeight="1" x14ac:dyDescent="0.25">
      <c r="A85" s="36" t="s">
        <v>149</v>
      </c>
      <c r="B85" s="31"/>
      <c r="C85" s="31"/>
      <c r="D85" s="31"/>
      <c r="E85" s="31"/>
      <c r="F85" s="31"/>
      <c r="G85" s="31"/>
      <c r="H85" s="31"/>
      <c r="I85" s="31"/>
      <c r="J85" s="31"/>
      <c r="K85" s="31"/>
      <c r="L85" s="31"/>
      <c r="M85" s="31"/>
      <c r="N85" s="31"/>
      <c r="O85" s="31"/>
      <c r="P85" s="32"/>
    </row>
    <row r="86" spans="1:16" ht="15.75" customHeight="1" x14ac:dyDescent="0.25">
      <c r="A86" s="34"/>
      <c r="B86" s="31"/>
      <c r="C86" s="31"/>
      <c r="D86" s="31"/>
      <c r="E86" s="31"/>
      <c r="F86" s="31"/>
      <c r="G86" s="31"/>
      <c r="H86" s="31"/>
      <c r="I86" s="31"/>
      <c r="J86" s="31"/>
      <c r="K86" s="31"/>
      <c r="L86" s="31"/>
      <c r="M86" s="31"/>
      <c r="N86" s="31"/>
      <c r="O86" s="31"/>
      <c r="P86" s="32"/>
    </row>
    <row r="87" spans="1:16" ht="15.75" customHeight="1" x14ac:dyDescent="0.25">
      <c r="A87" s="34"/>
      <c r="B87" s="31"/>
      <c r="C87" s="31"/>
      <c r="D87" s="31"/>
      <c r="E87" s="31"/>
      <c r="F87" s="31"/>
      <c r="G87" s="31"/>
      <c r="H87" s="31"/>
      <c r="I87" s="31"/>
      <c r="J87" s="31"/>
      <c r="K87" s="31"/>
      <c r="L87" s="31"/>
      <c r="M87" s="31"/>
      <c r="N87" s="31"/>
      <c r="O87" s="31"/>
      <c r="P87" s="32"/>
    </row>
    <row r="88" spans="1:16" ht="15.75" customHeight="1" x14ac:dyDescent="0.25">
      <c r="A88" s="34"/>
      <c r="B88" s="31"/>
      <c r="C88" s="31"/>
      <c r="D88" s="31"/>
      <c r="E88" s="31"/>
      <c r="F88" s="31"/>
      <c r="G88" s="31"/>
      <c r="H88" s="31"/>
      <c r="I88" s="31"/>
      <c r="J88" s="31"/>
      <c r="K88" s="31"/>
      <c r="L88" s="31"/>
      <c r="M88" s="31"/>
      <c r="N88" s="31"/>
      <c r="O88" s="31"/>
      <c r="P88" s="32"/>
    </row>
    <row r="89" spans="1:16" ht="15.75" customHeight="1" x14ac:dyDescent="0.25">
      <c r="A89" s="42"/>
      <c r="B89" s="43"/>
      <c r="C89" s="43"/>
      <c r="D89" s="43"/>
      <c r="E89" s="43"/>
      <c r="F89" s="43"/>
      <c r="G89" s="43"/>
      <c r="H89" s="43"/>
      <c r="I89" s="43"/>
      <c r="J89" s="43"/>
      <c r="K89" s="43"/>
      <c r="L89" s="43"/>
      <c r="M89" s="43"/>
      <c r="N89" s="43"/>
      <c r="O89" s="43"/>
      <c r="P89" s="44"/>
    </row>
    <row r="90" spans="1:16" ht="15.75" customHeight="1" x14ac:dyDescent="0.25"/>
    <row r="91" spans="1:16" ht="15.75" customHeight="1" x14ac:dyDescent="0.25"/>
    <row r="92" spans="1:16" ht="15.75" customHeight="1" x14ac:dyDescent="0.25"/>
    <row r="93" spans="1:16" ht="15.75" customHeight="1" x14ac:dyDescent="0.25"/>
    <row r="94" spans="1:16" ht="15.75" customHeight="1" x14ac:dyDescent="0.25"/>
    <row r="95" spans="1:16" ht="15.75" customHeight="1" x14ac:dyDescent="0.25"/>
    <row r="96" spans="1:1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sheetData>
  <hyperlinks>
    <hyperlink ref="A9" location="Indicator_Reference_Table!A1" display="Please refer to the Indicator Reference Table tab for examples of Indicators to use per Cluster/Sector. " xr:uid="{545E6ADF-763D-46D0-816A-58D40BD8B245}"/>
    <hyperlink ref="A12" location="Severity_Scale_Ref_Table_JIAF!A1" display="Please refer to the Severity Scale Reference Table tab for definitions regarding the severity scale (1-5) in the Indicator template " xr:uid="{06F7F6CB-C579-4A66-94CD-184263591CD8}"/>
    <hyperlink ref="A58" location="PIN_Methodology_Source!A1" display="A separate worksheet tab 'PIN_Methodology_Source' has also been provided for Clusters to indicate how their  PIN  was calculated and data sources used. " xr:uid="{9B272CD2-985C-49A5-B9A2-E1A309955E08}"/>
    <hyperlink ref="A85" r:id="rId1" xr:uid="{32AA225D-29F1-4FCC-AC94-56C555C9138A}"/>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4ABD5-2C06-473B-8D65-2A0C0571B28D}">
  <sheetPr>
    <tabColor theme="9" tint="-0.249977111117893"/>
  </sheetPr>
  <dimension ref="A1:M25"/>
  <sheetViews>
    <sheetView showGridLines="0" zoomScale="50" zoomScaleNormal="50" workbookViewId="0">
      <pane ySplit="1" topLeftCell="A2" activePane="bottomLeft" state="frozen"/>
      <selection pane="bottomLeft" activeCell="S14" sqref="S14"/>
    </sheetView>
  </sheetViews>
  <sheetFormatPr defaultRowHeight="15" x14ac:dyDescent="0.25"/>
  <cols>
    <col min="1" max="1" width="11.7109375" customWidth="1"/>
    <col min="2" max="2" width="11.85546875" customWidth="1"/>
    <col min="3" max="3" width="11.5703125" customWidth="1"/>
    <col min="4" max="4" width="16.85546875" customWidth="1"/>
    <col min="5" max="5" width="30.85546875" customWidth="1"/>
    <col min="6" max="6" width="14.7109375" customWidth="1"/>
    <col min="7" max="7" width="24.140625" customWidth="1"/>
    <col min="8" max="8" width="16.5703125" customWidth="1"/>
    <col min="9" max="9" width="16" customWidth="1"/>
    <col min="10" max="10" width="19.5703125" customWidth="1"/>
    <col min="11" max="11" width="15.85546875" customWidth="1"/>
    <col min="12" max="12" width="19.28515625" customWidth="1"/>
    <col min="13" max="13" width="12.140625" customWidth="1"/>
  </cols>
  <sheetData>
    <row r="1" spans="1:13" ht="39" x14ac:dyDescent="0.25">
      <c r="A1" s="24" t="s">
        <v>183</v>
      </c>
      <c r="B1" s="25" t="s">
        <v>184</v>
      </c>
      <c r="C1" s="25" t="s">
        <v>185</v>
      </c>
      <c r="D1" s="25" t="s">
        <v>186</v>
      </c>
      <c r="E1" s="25" t="s">
        <v>187</v>
      </c>
      <c r="F1" s="25" t="s">
        <v>188</v>
      </c>
      <c r="G1" s="25" t="s">
        <v>189</v>
      </c>
      <c r="H1" s="188" t="s">
        <v>117</v>
      </c>
      <c r="I1" s="189" t="s">
        <v>118</v>
      </c>
      <c r="J1" s="190" t="s">
        <v>119</v>
      </c>
      <c r="K1" s="191" t="s">
        <v>120</v>
      </c>
      <c r="L1" s="192" t="s">
        <v>121</v>
      </c>
      <c r="M1" s="26" t="s">
        <v>190</v>
      </c>
    </row>
    <row r="2" spans="1:13" ht="20.100000000000001" customHeight="1" x14ac:dyDescent="0.25">
      <c r="A2" s="154" t="s">
        <v>201</v>
      </c>
      <c r="B2" s="155"/>
      <c r="C2" s="156" t="s">
        <v>202</v>
      </c>
      <c r="D2" s="156" t="s">
        <v>194</v>
      </c>
      <c r="E2" s="157" t="s">
        <v>203</v>
      </c>
      <c r="F2" s="157" t="s">
        <v>204</v>
      </c>
      <c r="G2" s="157" t="s">
        <v>205</v>
      </c>
      <c r="H2" s="122">
        <v>0.1</v>
      </c>
      <c r="I2" s="123">
        <v>0.2</v>
      </c>
      <c r="J2" s="124" t="s">
        <v>453</v>
      </c>
      <c r="K2" s="125" t="s">
        <v>454</v>
      </c>
      <c r="L2" s="126" t="s">
        <v>455</v>
      </c>
      <c r="M2" s="117"/>
    </row>
    <row r="3" spans="1:13" ht="20.100000000000001" customHeight="1" x14ac:dyDescent="0.25">
      <c r="A3" s="154" t="s">
        <v>201</v>
      </c>
      <c r="B3" s="155"/>
      <c r="C3" s="156" t="s">
        <v>202</v>
      </c>
      <c r="D3" s="156" t="s">
        <v>194</v>
      </c>
      <c r="E3" s="157" t="s">
        <v>206</v>
      </c>
      <c r="F3" s="157" t="s">
        <v>207</v>
      </c>
      <c r="G3" s="157" t="s">
        <v>205</v>
      </c>
      <c r="H3" s="122">
        <v>0.1</v>
      </c>
      <c r="I3" s="123">
        <v>0.2</v>
      </c>
      <c r="J3" s="124" t="s">
        <v>453</v>
      </c>
      <c r="K3" s="125" t="s">
        <v>454</v>
      </c>
      <c r="L3" s="126" t="s">
        <v>455</v>
      </c>
      <c r="M3" s="117"/>
    </row>
    <row r="4" spans="1:13" ht="20.100000000000001" customHeight="1" x14ac:dyDescent="0.25">
      <c r="A4" s="158" t="s">
        <v>254</v>
      </c>
      <c r="B4" s="158" t="s">
        <v>255</v>
      </c>
      <c r="C4" s="159" t="s">
        <v>193</v>
      </c>
      <c r="D4" s="159" t="s">
        <v>194</v>
      </c>
      <c r="E4" s="159" t="s">
        <v>256</v>
      </c>
      <c r="F4" s="159" t="s">
        <v>204</v>
      </c>
      <c r="G4" s="159" t="s">
        <v>422</v>
      </c>
      <c r="H4" s="127" t="s">
        <v>410</v>
      </c>
      <c r="I4" s="128" t="s">
        <v>411</v>
      </c>
      <c r="J4" s="124" t="s">
        <v>412</v>
      </c>
      <c r="K4" s="125" t="s">
        <v>214</v>
      </c>
      <c r="L4" s="126" t="s">
        <v>413</v>
      </c>
      <c r="M4" s="117"/>
    </row>
    <row r="5" spans="1:13" ht="20.100000000000001" customHeight="1" x14ac:dyDescent="0.25">
      <c r="A5" s="158" t="s">
        <v>254</v>
      </c>
      <c r="B5" s="158" t="s">
        <v>257</v>
      </c>
      <c r="C5" s="159" t="s">
        <v>193</v>
      </c>
      <c r="D5" s="159" t="s">
        <v>194</v>
      </c>
      <c r="E5" s="159" t="s">
        <v>258</v>
      </c>
      <c r="F5" s="159" t="s">
        <v>207</v>
      </c>
      <c r="G5" s="159" t="s">
        <v>422</v>
      </c>
      <c r="H5" s="127" t="s">
        <v>410</v>
      </c>
      <c r="I5" s="128" t="s">
        <v>411</v>
      </c>
      <c r="J5" s="124" t="s">
        <v>414</v>
      </c>
      <c r="K5" s="125" t="s">
        <v>415</v>
      </c>
      <c r="L5" s="126" t="s">
        <v>416</v>
      </c>
      <c r="M5" s="117"/>
    </row>
    <row r="6" spans="1:13" ht="20.100000000000001" customHeight="1" x14ac:dyDescent="0.25">
      <c r="A6" s="158" t="s">
        <v>254</v>
      </c>
      <c r="B6" s="158" t="s">
        <v>259</v>
      </c>
      <c r="C6" s="159" t="s">
        <v>193</v>
      </c>
      <c r="D6" s="159" t="s">
        <v>194</v>
      </c>
      <c r="E6" s="159" t="s">
        <v>260</v>
      </c>
      <c r="F6" s="159" t="s">
        <v>204</v>
      </c>
      <c r="G6" s="159" t="s">
        <v>422</v>
      </c>
      <c r="H6" s="127" t="s">
        <v>417</v>
      </c>
      <c r="I6" s="128" t="s">
        <v>418</v>
      </c>
      <c r="J6" s="124" t="s">
        <v>419</v>
      </c>
      <c r="K6" s="125" t="s">
        <v>420</v>
      </c>
      <c r="L6" s="126" t="s">
        <v>421</v>
      </c>
      <c r="M6" s="117"/>
    </row>
    <row r="7" spans="1:13" ht="20.100000000000001" customHeight="1" x14ac:dyDescent="0.25">
      <c r="A7" s="160" t="s">
        <v>261</v>
      </c>
      <c r="B7" s="160"/>
      <c r="C7" s="161" t="s">
        <v>202</v>
      </c>
      <c r="D7" s="161" t="s">
        <v>211</v>
      </c>
      <c r="E7" s="161" t="s">
        <v>575</v>
      </c>
      <c r="F7" s="161" t="s">
        <v>262</v>
      </c>
      <c r="G7" s="161" t="s">
        <v>576</v>
      </c>
      <c r="H7" s="129">
        <v>1</v>
      </c>
      <c r="I7" s="130">
        <v>2</v>
      </c>
      <c r="J7" s="131">
        <v>3</v>
      </c>
      <c r="K7" s="132">
        <v>4</v>
      </c>
      <c r="L7" s="133">
        <v>5</v>
      </c>
      <c r="M7" s="118"/>
    </row>
    <row r="8" spans="1:13" ht="20.100000000000001" customHeight="1" x14ac:dyDescent="0.25">
      <c r="A8" s="162" t="s">
        <v>270</v>
      </c>
      <c r="B8" s="162" t="s">
        <v>271</v>
      </c>
      <c r="C8" s="121" t="s">
        <v>193</v>
      </c>
      <c r="D8" s="121" t="s">
        <v>211</v>
      </c>
      <c r="E8" s="121" t="s">
        <v>272</v>
      </c>
      <c r="F8" s="121"/>
      <c r="G8" s="163" t="s">
        <v>273</v>
      </c>
      <c r="H8" s="127" t="s">
        <v>274</v>
      </c>
      <c r="I8" s="128" t="s">
        <v>275</v>
      </c>
      <c r="J8" s="124" t="s">
        <v>276</v>
      </c>
      <c r="K8" s="125" t="s">
        <v>277</v>
      </c>
      <c r="L8" s="126" t="s">
        <v>278</v>
      </c>
      <c r="M8" s="117"/>
    </row>
    <row r="9" spans="1:13" ht="20.100000000000001" customHeight="1" x14ac:dyDescent="0.25">
      <c r="A9" s="162" t="s">
        <v>270</v>
      </c>
      <c r="B9" s="162" t="s">
        <v>279</v>
      </c>
      <c r="C9" s="121" t="s">
        <v>193</v>
      </c>
      <c r="D9" s="121" t="s">
        <v>211</v>
      </c>
      <c r="E9" s="121" t="s">
        <v>280</v>
      </c>
      <c r="F9" s="121"/>
      <c r="G9" s="163" t="s">
        <v>281</v>
      </c>
      <c r="H9" s="127" t="s">
        <v>435</v>
      </c>
      <c r="I9" s="128" t="s">
        <v>436</v>
      </c>
      <c r="J9" s="124" t="s">
        <v>437</v>
      </c>
      <c r="K9" s="125" t="s">
        <v>438</v>
      </c>
      <c r="L9" s="126" t="s">
        <v>439</v>
      </c>
      <c r="M9" s="117"/>
    </row>
    <row r="10" spans="1:13" ht="20.100000000000001" customHeight="1" x14ac:dyDescent="0.25">
      <c r="A10" s="162" t="s">
        <v>270</v>
      </c>
      <c r="B10" s="162" t="s">
        <v>282</v>
      </c>
      <c r="C10" s="121" t="s">
        <v>193</v>
      </c>
      <c r="D10" s="121" t="s">
        <v>194</v>
      </c>
      <c r="E10" s="121" t="s">
        <v>283</v>
      </c>
      <c r="F10" s="121"/>
      <c r="G10" s="163" t="s">
        <v>284</v>
      </c>
      <c r="H10" s="127" t="s">
        <v>440</v>
      </c>
      <c r="I10" s="128" t="s">
        <v>441</v>
      </c>
      <c r="J10" s="124" t="s">
        <v>442</v>
      </c>
      <c r="K10" s="125" t="s">
        <v>443</v>
      </c>
      <c r="L10" s="126" t="s">
        <v>444</v>
      </c>
      <c r="M10" s="117"/>
    </row>
    <row r="11" spans="1:13" ht="20.100000000000001" customHeight="1" x14ac:dyDescent="0.25">
      <c r="A11" s="164" t="s">
        <v>218</v>
      </c>
      <c r="B11" s="164" t="s">
        <v>219</v>
      </c>
      <c r="C11" s="165" t="s">
        <v>193</v>
      </c>
      <c r="D11" s="165" t="s">
        <v>194</v>
      </c>
      <c r="E11" s="165" t="s">
        <v>122</v>
      </c>
      <c r="F11" s="165" t="s">
        <v>220</v>
      </c>
      <c r="G11" s="165" t="s">
        <v>221</v>
      </c>
      <c r="H11" s="127" t="s">
        <v>222</v>
      </c>
      <c r="I11" s="128" t="s">
        <v>223</v>
      </c>
      <c r="J11" s="124" t="s">
        <v>224</v>
      </c>
      <c r="K11" s="125" t="s">
        <v>225</v>
      </c>
      <c r="L11" s="126" t="s">
        <v>226</v>
      </c>
      <c r="M11" s="117"/>
    </row>
    <row r="12" spans="1:13" ht="20.100000000000001" customHeight="1" x14ac:dyDescent="0.25">
      <c r="A12" s="166" t="s">
        <v>218</v>
      </c>
      <c r="B12" s="166" t="s">
        <v>227</v>
      </c>
      <c r="C12" s="167" t="s">
        <v>193</v>
      </c>
      <c r="D12" s="167" t="s">
        <v>211</v>
      </c>
      <c r="E12" s="167" t="s">
        <v>228</v>
      </c>
      <c r="F12" s="167" t="s">
        <v>220</v>
      </c>
      <c r="G12" s="167" t="s">
        <v>221</v>
      </c>
      <c r="H12" s="134" t="s">
        <v>456</v>
      </c>
      <c r="I12" s="135" t="s">
        <v>457</v>
      </c>
      <c r="J12" s="136" t="s">
        <v>458</v>
      </c>
      <c r="K12" s="137" t="s">
        <v>459</v>
      </c>
      <c r="L12" s="138"/>
      <c r="M12" s="117"/>
    </row>
    <row r="13" spans="1:13" ht="20.100000000000001" customHeight="1" x14ac:dyDescent="0.25">
      <c r="A13" s="168" t="s">
        <v>218</v>
      </c>
      <c r="B13" s="168" t="s">
        <v>229</v>
      </c>
      <c r="C13" s="169" t="s">
        <v>193</v>
      </c>
      <c r="D13" s="169" t="s">
        <v>211</v>
      </c>
      <c r="E13" s="169" t="s">
        <v>230</v>
      </c>
      <c r="F13" s="169" t="s">
        <v>220</v>
      </c>
      <c r="G13" s="169" t="s">
        <v>221</v>
      </c>
      <c r="H13" s="139" t="s">
        <v>226</v>
      </c>
      <c r="I13" s="140" t="s">
        <v>231</v>
      </c>
      <c r="J13" s="141" t="s">
        <v>232</v>
      </c>
      <c r="K13" s="142" t="s">
        <v>233</v>
      </c>
      <c r="L13" s="143"/>
      <c r="M13" s="116"/>
    </row>
    <row r="14" spans="1:13" ht="20.100000000000001" customHeight="1" x14ac:dyDescent="0.25">
      <c r="A14" s="170" t="s">
        <v>208</v>
      </c>
      <c r="B14" s="170" t="s">
        <v>209</v>
      </c>
      <c r="C14" s="171" t="s">
        <v>202</v>
      </c>
      <c r="D14" s="171" t="s">
        <v>194</v>
      </c>
      <c r="E14" s="171" t="s">
        <v>210</v>
      </c>
      <c r="F14" s="171" t="s">
        <v>207</v>
      </c>
      <c r="G14" s="171" t="s">
        <v>434</v>
      </c>
      <c r="H14" s="139" t="s">
        <v>423</v>
      </c>
      <c r="I14" s="140" t="s">
        <v>424</v>
      </c>
      <c r="J14" s="141" t="s">
        <v>425</v>
      </c>
      <c r="K14" s="142" t="s">
        <v>426</v>
      </c>
      <c r="L14" s="143" t="s">
        <v>427</v>
      </c>
      <c r="M14" s="116"/>
    </row>
    <row r="15" spans="1:13" ht="20.100000000000001" customHeight="1" x14ac:dyDescent="0.25">
      <c r="A15" s="170" t="s">
        <v>208</v>
      </c>
      <c r="B15" s="170" t="s">
        <v>209</v>
      </c>
      <c r="C15" s="171" t="s">
        <v>202</v>
      </c>
      <c r="D15" s="171" t="s">
        <v>211</v>
      </c>
      <c r="E15" s="171" t="s">
        <v>212</v>
      </c>
      <c r="F15" s="171" t="s">
        <v>207</v>
      </c>
      <c r="G15" s="171" t="s">
        <v>433</v>
      </c>
      <c r="H15" s="139" t="s">
        <v>428</v>
      </c>
      <c r="I15" s="140" t="s">
        <v>429</v>
      </c>
      <c r="J15" s="141" t="s">
        <v>430</v>
      </c>
      <c r="K15" s="142" t="s">
        <v>431</v>
      </c>
      <c r="L15" s="143" t="s">
        <v>432</v>
      </c>
      <c r="M15" s="119"/>
    </row>
    <row r="16" spans="1:13" ht="20.100000000000001" customHeight="1" x14ac:dyDescent="0.25">
      <c r="A16" s="172" t="s">
        <v>208</v>
      </c>
      <c r="B16" s="172" t="s">
        <v>234</v>
      </c>
      <c r="C16" s="173" t="s">
        <v>202</v>
      </c>
      <c r="D16" s="173" t="s">
        <v>211</v>
      </c>
      <c r="E16" s="174" t="s">
        <v>235</v>
      </c>
      <c r="F16" s="173"/>
      <c r="G16" s="175" t="s">
        <v>236</v>
      </c>
      <c r="H16" s="144" t="s">
        <v>405</v>
      </c>
      <c r="I16" s="145" t="s">
        <v>406</v>
      </c>
      <c r="J16" s="146" t="s">
        <v>407</v>
      </c>
      <c r="K16" s="147" t="s">
        <v>408</v>
      </c>
      <c r="L16" s="148" t="s">
        <v>409</v>
      </c>
      <c r="M16" s="120"/>
    </row>
    <row r="17" spans="1:13" ht="20.100000000000001" customHeight="1" x14ac:dyDescent="0.25">
      <c r="A17" s="176" t="s">
        <v>208</v>
      </c>
      <c r="B17" s="176" t="s">
        <v>234</v>
      </c>
      <c r="C17" s="177" t="s">
        <v>202</v>
      </c>
      <c r="D17" s="177" t="s">
        <v>211</v>
      </c>
      <c r="E17" s="178" t="s">
        <v>237</v>
      </c>
      <c r="F17" s="179"/>
      <c r="G17" s="180" t="s">
        <v>460</v>
      </c>
      <c r="H17" s="149" t="s">
        <v>405</v>
      </c>
      <c r="I17" s="150" t="s">
        <v>406</v>
      </c>
      <c r="J17" s="151" t="s">
        <v>407</v>
      </c>
      <c r="K17" s="152" t="s">
        <v>408</v>
      </c>
      <c r="L17" s="153" t="s">
        <v>409</v>
      </c>
      <c r="M17" s="120"/>
    </row>
    <row r="18" spans="1:13" ht="20.100000000000001" customHeight="1" x14ac:dyDescent="0.25">
      <c r="A18" s="176" t="s">
        <v>208</v>
      </c>
      <c r="B18" s="176" t="s">
        <v>234</v>
      </c>
      <c r="C18" s="177" t="s">
        <v>202</v>
      </c>
      <c r="D18" s="177" t="s">
        <v>194</v>
      </c>
      <c r="E18" s="180" t="s">
        <v>238</v>
      </c>
      <c r="F18" s="177"/>
      <c r="G18" s="180" t="s">
        <v>461</v>
      </c>
      <c r="H18" s="149" t="s">
        <v>405</v>
      </c>
      <c r="I18" s="150" t="s">
        <v>406</v>
      </c>
      <c r="J18" s="151" t="s">
        <v>407</v>
      </c>
      <c r="K18" s="152" t="s">
        <v>408</v>
      </c>
      <c r="L18" s="153" t="s">
        <v>409</v>
      </c>
      <c r="M18" s="120"/>
    </row>
    <row r="19" spans="1:13" ht="20.100000000000001" customHeight="1" x14ac:dyDescent="0.25">
      <c r="A19" s="181" t="str">
        <f ca="1">IFERROR(__xludf.DUMMYFUNCTION("""COMPUTED_VALUE"""),"Protection")</f>
        <v>Protection</v>
      </c>
      <c r="B19" s="181" t="s">
        <v>462</v>
      </c>
      <c r="C19" s="182" t="str">
        <f ca="1">IFERROR(__xludf.DUMMYFUNCTION("""COMPUTED_VALUE"""),"Humanitarian Conditions")</f>
        <v>Humanitarian Conditions</v>
      </c>
      <c r="D19" s="182" t="str">
        <f ca="1">IFERROR(__xludf.DUMMYFUNCTION("""COMPUTED_VALUE"""),"Living Standards")</f>
        <v>Living Standards</v>
      </c>
      <c r="E19" s="182" t="str">
        <f ca="1">IFERROR(__xludf.DUMMYFUNCTION("""COMPUTED_VALUE"""),"% of HH members without valid civil documentation and unable to obtain them")</f>
        <v>% of HH members without valid civil documentation and unable to obtain them</v>
      </c>
      <c r="F19" s="183">
        <f ca="1">IFERROR(__xludf.DUMMYFUNCTION("""COMPUTED_VALUE"""),1)</f>
        <v>1</v>
      </c>
      <c r="G19" s="182" t="s">
        <v>296</v>
      </c>
      <c r="H19" s="127" t="s">
        <v>297</v>
      </c>
      <c r="I19" s="128" t="s">
        <v>298</v>
      </c>
      <c r="J19" s="124" t="s">
        <v>299</v>
      </c>
      <c r="K19" s="125" t="s">
        <v>300</v>
      </c>
      <c r="L19" s="126" t="s">
        <v>301</v>
      </c>
      <c r="M19" s="117"/>
    </row>
    <row r="20" spans="1:13" ht="20.100000000000001" customHeight="1" x14ac:dyDescent="0.25">
      <c r="A20" s="181" t="str">
        <f ca="1">IFERROR(__xludf.DUMMYFUNCTION("""COMPUTED_VALUE"""),"Protection")</f>
        <v>Protection</v>
      </c>
      <c r="B20" s="181" t="s">
        <v>462</v>
      </c>
      <c r="C20" s="182" t="str">
        <f ca="1">IFERROR(__xludf.DUMMYFUNCTION("""COMPUTED_VALUE"""),"Humanitarian Conditions")</f>
        <v>Humanitarian Conditions</v>
      </c>
      <c r="D20" s="182" t="str">
        <f ca="1">IFERROR(__xludf.DUMMYFUNCTION("""COMPUTED_VALUE"""),"Living Standards")</f>
        <v>Living Standards</v>
      </c>
      <c r="E20" s="182" t="str">
        <f ca="1">IFERROR(__xludf.DUMMYFUNCTION("""COMPUTED_VALUE"""),"% of population in specific groups excluded or with limited access to services (i.e. UASC, persons with disabilities, older persons, minority groups, etc.)")</f>
        <v>% of population in specific groups excluded or with limited access to services (i.e. UASC, persons with disabilities, older persons, minority groups, etc.)</v>
      </c>
      <c r="F20" s="183">
        <f ca="1">IFERROR(__xludf.DUMMYFUNCTION("""COMPUTED_VALUE"""),1)</f>
        <v>1</v>
      </c>
      <c r="G20" s="182" t="s">
        <v>302</v>
      </c>
      <c r="H20" s="127" t="s">
        <v>303</v>
      </c>
      <c r="I20" s="128" t="s">
        <v>304</v>
      </c>
      <c r="J20" s="124" t="s">
        <v>305</v>
      </c>
      <c r="K20" s="125" t="s">
        <v>306</v>
      </c>
      <c r="L20" s="126" t="s">
        <v>307</v>
      </c>
      <c r="M20" s="117"/>
    </row>
    <row r="21" spans="1:13" ht="20.100000000000001" customHeight="1" x14ac:dyDescent="0.25">
      <c r="A21" s="181" t="str">
        <f ca="1">IFERROR(__xludf.DUMMYFUNCTION("""COMPUTED_VALUE"""),"Protection")</f>
        <v>Protection</v>
      </c>
      <c r="B21" s="181" t="s">
        <v>462</v>
      </c>
      <c r="C21" s="182" t="str">
        <f ca="1">IFERROR(__xludf.DUMMYFUNCTION("""COMPUTED_VALUE"""),"Humanitarian Conditions")</f>
        <v>Humanitarian Conditions</v>
      </c>
      <c r="D21" s="182" t="str">
        <f ca="1">IFERROR(__xludf.DUMMYFUNCTION("""COMPUTED_VALUE"""),"Physical and Mental Wellbeing")</f>
        <v>Physical and Mental Wellbeing</v>
      </c>
      <c r="E21" s="182" t="str">
        <f ca="1">IFERROR(__xludf.DUMMYFUNCTION("""COMPUTED_VALUE"""),"% of population in sites/communities reporting protection incidents in the last 3 months")</f>
        <v>% of population in sites/communities reporting protection incidents in the last 3 months</v>
      </c>
      <c r="F21" s="183">
        <f ca="1">IFERROR(__xludf.DUMMYFUNCTION("""COMPUTED_VALUE"""),1)</f>
        <v>1</v>
      </c>
      <c r="G21" s="182" t="s">
        <v>302</v>
      </c>
      <c r="H21" s="127" t="s">
        <v>213</v>
      </c>
      <c r="I21" s="128" t="s">
        <v>214</v>
      </c>
      <c r="J21" s="124" t="s">
        <v>215</v>
      </c>
      <c r="K21" s="125" t="s">
        <v>216</v>
      </c>
      <c r="L21" s="126" t="s">
        <v>217</v>
      </c>
      <c r="M21" s="117"/>
    </row>
    <row r="22" spans="1:13" ht="20.100000000000001" customHeight="1" x14ac:dyDescent="0.25">
      <c r="A22" s="184" t="s">
        <v>191</v>
      </c>
      <c r="B22" s="184" t="s">
        <v>192</v>
      </c>
      <c r="C22" s="185" t="s">
        <v>193</v>
      </c>
      <c r="D22" s="185" t="s">
        <v>194</v>
      </c>
      <c r="E22" s="185" t="s">
        <v>195</v>
      </c>
      <c r="F22" s="185"/>
      <c r="G22" s="185" t="s">
        <v>196</v>
      </c>
      <c r="H22" s="127" t="s">
        <v>197</v>
      </c>
      <c r="I22" s="128" t="s">
        <v>445</v>
      </c>
      <c r="J22" s="124" t="s">
        <v>446</v>
      </c>
      <c r="K22" s="125" t="s">
        <v>447</v>
      </c>
      <c r="L22" s="126" t="s">
        <v>448</v>
      </c>
      <c r="M22" s="117"/>
    </row>
    <row r="23" spans="1:13" ht="20.100000000000001" customHeight="1" x14ac:dyDescent="0.25">
      <c r="A23" s="184" t="s">
        <v>191</v>
      </c>
      <c r="B23" s="184" t="s">
        <v>198</v>
      </c>
      <c r="C23" s="185" t="s">
        <v>193</v>
      </c>
      <c r="D23" s="185" t="s">
        <v>194</v>
      </c>
      <c r="E23" s="185" t="s">
        <v>294</v>
      </c>
      <c r="F23" s="185" t="s">
        <v>199</v>
      </c>
      <c r="G23" s="185" t="s">
        <v>196</v>
      </c>
      <c r="H23" s="127" t="s">
        <v>200</v>
      </c>
      <c r="I23" s="128" t="s">
        <v>449</v>
      </c>
      <c r="J23" s="124" t="s">
        <v>450</v>
      </c>
      <c r="K23" s="125" t="s">
        <v>451</v>
      </c>
      <c r="L23" s="126" t="s">
        <v>452</v>
      </c>
      <c r="M23" s="117"/>
    </row>
    <row r="24" spans="1:13" ht="20.100000000000001" customHeight="1" x14ac:dyDescent="0.25">
      <c r="A24" s="186" t="s">
        <v>239</v>
      </c>
      <c r="B24" s="186" t="s">
        <v>240</v>
      </c>
      <c r="C24" s="187" t="s">
        <v>193</v>
      </c>
      <c r="D24" s="187" t="s">
        <v>194</v>
      </c>
      <c r="E24" s="187" t="s">
        <v>241</v>
      </c>
      <c r="F24" s="187" t="s">
        <v>204</v>
      </c>
      <c r="G24" s="187" t="s">
        <v>391</v>
      </c>
      <c r="H24" s="127" t="s">
        <v>242</v>
      </c>
      <c r="I24" s="128" t="s">
        <v>243</v>
      </c>
      <c r="J24" s="124" t="s">
        <v>244</v>
      </c>
      <c r="K24" s="125" t="s">
        <v>245</v>
      </c>
      <c r="L24" s="126" t="s">
        <v>246</v>
      </c>
      <c r="M24" s="117"/>
    </row>
    <row r="25" spans="1:13" ht="102" x14ac:dyDescent="0.25">
      <c r="A25" s="186" t="s">
        <v>239</v>
      </c>
      <c r="B25" s="186" t="s">
        <v>247</v>
      </c>
      <c r="C25" s="187" t="s">
        <v>202</v>
      </c>
      <c r="D25" s="187" t="s">
        <v>211</v>
      </c>
      <c r="E25" s="187" t="s">
        <v>248</v>
      </c>
      <c r="F25" s="187" t="s">
        <v>204</v>
      </c>
      <c r="G25" s="187" t="s">
        <v>392</v>
      </c>
      <c r="H25" s="127" t="s">
        <v>249</v>
      </c>
      <c r="I25" s="128" t="s">
        <v>250</v>
      </c>
      <c r="J25" s="124" t="s">
        <v>251</v>
      </c>
      <c r="K25" s="125" t="s">
        <v>252</v>
      </c>
      <c r="L25" s="126" t="s">
        <v>253</v>
      </c>
      <c r="M25" s="117"/>
    </row>
  </sheetData>
  <autoFilter ref="A1:M25" xr:uid="{7530BE86-803B-46FC-8D40-7950547904CA}">
    <sortState xmlns:xlrd2="http://schemas.microsoft.com/office/spreadsheetml/2017/richdata2" ref="A2:M25">
      <sortCondition ref="A2:A25"/>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F93FC-4119-4D23-9E4A-CF9B536CB905}">
  <dimension ref="A1:Z1000"/>
  <sheetViews>
    <sheetView topLeftCell="A7" workbookViewId="0">
      <selection activeCell="P3" sqref="P3"/>
    </sheetView>
  </sheetViews>
  <sheetFormatPr defaultColWidth="13.85546875" defaultRowHeight="15" customHeight="1" x14ac:dyDescent="0.25"/>
  <cols>
    <col min="1" max="26" width="8.42578125" customWidth="1"/>
  </cols>
  <sheetData>
    <row r="1" spans="1:26" x14ac:dyDescent="0.25">
      <c r="A1" s="19" t="s">
        <v>158</v>
      </c>
    </row>
    <row r="2" spans="1:26" x14ac:dyDescent="0.25">
      <c r="A2" s="17"/>
    </row>
    <row r="3" spans="1:26" ht="15.75" x14ac:dyDescent="0.25">
      <c r="A3" s="20" t="s">
        <v>159</v>
      </c>
      <c r="B3" s="21"/>
      <c r="C3" s="21"/>
      <c r="D3" s="21"/>
      <c r="E3" s="21"/>
      <c r="F3" s="21"/>
      <c r="G3" s="21"/>
      <c r="H3" s="21"/>
      <c r="I3" s="21"/>
      <c r="J3" s="21"/>
      <c r="K3" s="21"/>
      <c r="L3" s="21"/>
      <c r="M3" s="21"/>
      <c r="N3" s="21"/>
      <c r="O3" s="21"/>
      <c r="P3" s="21"/>
      <c r="Q3" s="21"/>
      <c r="R3" s="21"/>
      <c r="S3" s="21"/>
      <c r="T3" s="21"/>
      <c r="U3" s="21"/>
      <c r="V3" s="21"/>
      <c r="W3" s="21"/>
      <c r="X3" s="21"/>
      <c r="Y3" s="21"/>
      <c r="Z3" s="21"/>
    </row>
    <row r="4" spans="1:26" ht="15.75" x14ac:dyDescent="0.25">
      <c r="A4" s="22" t="s">
        <v>160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DDA65-3140-4F1B-B9C7-34074FF9C1DA}">
  <sheetPr>
    <tabColor theme="5" tint="-0.249977111117893"/>
  </sheetPr>
  <dimension ref="A1:S96"/>
  <sheetViews>
    <sheetView showGridLines="0" zoomScale="110" zoomScaleNormal="110" workbookViewId="0">
      <pane xSplit="2" ySplit="1" topLeftCell="C2" activePane="bottomRight" state="frozen"/>
      <selection pane="topRight" activeCell="C1" sqref="C1"/>
      <selection pane="bottomLeft" activeCell="A2" sqref="A2"/>
      <selection pane="bottomRight" activeCell="G98" sqref="G98"/>
    </sheetView>
  </sheetViews>
  <sheetFormatPr defaultColWidth="15.5703125" defaultRowHeight="12.75" x14ac:dyDescent="0.2"/>
  <cols>
    <col min="1" max="1" width="17.5703125" style="2" customWidth="1"/>
    <col min="2" max="2" width="21.140625" style="2" customWidth="1"/>
    <col min="3" max="3" width="14.140625" style="4" customWidth="1"/>
    <col min="4" max="4" width="11.7109375" style="4" customWidth="1"/>
    <col min="5" max="5" width="10.140625" style="4" customWidth="1"/>
    <col min="6" max="6" width="14.42578125" style="4" customWidth="1"/>
    <col min="7" max="8" width="10.5703125" style="4" customWidth="1"/>
    <col min="9" max="9" width="13.28515625" style="4" customWidth="1"/>
    <col min="10" max="10" width="12.140625" style="4" customWidth="1"/>
    <col min="11" max="11" width="10.5703125" style="4" customWidth="1"/>
    <col min="12" max="12" width="8.28515625" style="4" customWidth="1"/>
    <col min="13" max="14" width="6.85546875" style="4" customWidth="1"/>
    <col min="15" max="18" width="10.28515625" style="4" customWidth="1"/>
    <col min="19" max="19" width="10.85546875" style="4" customWidth="1"/>
    <col min="20" max="16384" width="15.5703125" style="4"/>
  </cols>
  <sheetData>
    <row r="1" spans="1:19" s="1" customFormat="1" ht="41.45" customHeight="1" x14ac:dyDescent="0.25">
      <c r="A1" s="87" t="s">
        <v>0</v>
      </c>
      <c r="B1" s="87" t="s">
        <v>1</v>
      </c>
      <c r="C1" s="88" t="s">
        <v>105</v>
      </c>
      <c r="D1" s="88" t="s">
        <v>3</v>
      </c>
      <c r="E1" s="88" t="s">
        <v>4</v>
      </c>
      <c r="F1" s="15" t="s">
        <v>266</v>
      </c>
      <c r="G1" s="15" t="s">
        <v>265</v>
      </c>
      <c r="H1" s="15" t="s">
        <v>113</v>
      </c>
      <c r="I1" s="15" t="s">
        <v>112</v>
      </c>
      <c r="J1" s="15" t="s">
        <v>310</v>
      </c>
      <c r="K1" s="15" t="s">
        <v>106</v>
      </c>
      <c r="L1" s="15" t="s">
        <v>114</v>
      </c>
      <c r="M1" s="15" t="s">
        <v>115</v>
      </c>
      <c r="N1" s="15" t="s">
        <v>116</v>
      </c>
      <c r="O1" s="15" t="s">
        <v>269</v>
      </c>
      <c r="P1" s="15" t="s">
        <v>268</v>
      </c>
      <c r="Q1" s="15" t="s">
        <v>267</v>
      </c>
      <c r="R1" s="15" t="s">
        <v>321</v>
      </c>
      <c r="S1" s="15" t="s">
        <v>103</v>
      </c>
    </row>
    <row r="2" spans="1:19" x14ac:dyDescent="0.2">
      <c r="A2" s="3" t="s">
        <v>5</v>
      </c>
      <c r="B2" s="3" t="s">
        <v>5</v>
      </c>
      <c r="C2" s="8">
        <v>763366</v>
      </c>
      <c r="D2" s="8">
        <f>Table1[[#This Row],[Population projection 2020]]*0.46</f>
        <v>351148.36000000004</v>
      </c>
      <c r="E2" s="8">
        <f>Table1[[#This Row],[Population projection 2020]]*0.54</f>
        <v>412217.64</v>
      </c>
      <c r="F2" s="8">
        <f>Table1[[#This Row],[Population projection 2020]]*0.08</f>
        <v>61069.279999999999</v>
      </c>
      <c r="G2" s="8">
        <f>Table1[[#This Row],[Population projection 2020]]*0.13</f>
        <v>99237.58</v>
      </c>
      <c r="H2" s="8">
        <f>Table1[[#This Row],[Population projection 2020]]*0.46</f>
        <v>351148.36000000004</v>
      </c>
      <c r="I2" s="8">
        <f>Table1[[#This Row],[Female]]*0.56</f>
        <v>230841.87840000002</v>
      </c>
      <c r="J2" s="8">
        <f>Table1[[#This Row],[Male]]*0.54</f>
        <v>189620.11440000005</v>
      </c>
      <c r="K2" s="8">
        <v>32405.515200000002</v>
      </c>
      <c r="L2" s="55">
        <f>SUM(Table1[[#This Row],[IDPs / Migrants Male]:[IDPs / Migrants Female]])</f>
        <v>0</v>
      </c>
      <c r="M2" s="8"/>
      <c r="N2" s="8"/>
      <c r="O2" s="8">
        <v>2713</v>
      </c>
      <c r="P2" s="8">
        <v>1505</v>
      </c>
      <c r="Q2" s="8">
        <v>1208</v>
      </c>
      <c r="R2" s="8"/>
      <c r="S2" s="8">
        <f>Table1[[#This Row],[Population projection 2020]]*0.07</f>
        <v>53435.62</v>
      </c>
    </row>
    <row r="3" spans="1:19" x14ac:dyDescent="0.2">
      <c r="A3" s="3" t="s">
        <v>104</v>
      </c>
      <c r="B3" s="3" t="s">
        <v>104</v>
      </c>
      <c r="C3" s="8">
        <v>1035.4577840894306</v>
      </c>
      <c r="D3" s="8">
        <f>Table1[[#This Row],[Population projection 2020]]*0.47</f>
        <v>486.66515852203236</v>
      </c>
      <c r="E3" s="8">
        <f>Table1[[#This Row],[Population projection 2020]]*0.53</f>
        <v>548.7926255673982</v>
      </c>
      <c r="F3" s="8">
        <f>Table1[[#This Row],[Population projection 2020]]*0.08</f>
        <v>82.836622727154449</v>
      </c>
      <c r="G3" s="8">
        <f>Table1[[#This Row],[Population projection 2020]]*0.16</f>
        <v>165.6732454543089</v>
      </c>
      <c r="H3" s="8">
        <f>Table1[[#This Row],[Population projection 2020]]*0.56</f>
        <v>579.85635909008113</v>
      </c>
      <c r="I3" s="8">
        <f>Table1[[#This Row],[Female]]*0.44</f>
        <v>241.4687552496552</v>
      </c>
      <c r="J3" s="8">
        <f>Table1[[#This Row],[Male]]*0.41</f>
        <v>199.53271499403326</v>
      </c>
      <c r="K3" s="8">
        <f>Table1[[#This Row],[Population projection 2020]]*0.05</f>
        <v>51.772889204471532</v>
      </c>
      <c r="L3" s="55">
        <f>SUM(Table1[[#This Row],[IDPs / Migrants Male]:[IDPs / Migrants Female]])</f>
        <v>0</v>
      </c>
      <c r="M3" s="8"/>
      <c r="N3" s="8"/>
      <c r="O3" s="8"/>
      <c r="P3" s="8"/>
      <c r="Q3" s="8"/>
      <c r="R3" s="8"/>
      <c r="S3" s="8">
        <f>Table1[[#This Row],[Population projection 2020]]*0.07</f>
        <v>72.482044886260141</v>
      </c>
    </row>
    <row r="4" spans="1:19" x14ac:dyDescent="0.2">
      <c r="A4" s="3" t="s">
        <v>84</v>
      </c>
      <c r="B4" s="3" t="s">
        <v>85</v>
      </c>
      <c r="C4" s="8">
        <v>472473.17431040556</v>
      </c>
      <c r="D4" s="8">
        <f>Table1[[#This Row],[Population projection 2020]]*0.48</f>
        <v>226787.12366899467</v>
      </c>
      <c r="E4" s="8">
        <f>Table1[[#This Row],[Population projection 2020]]*0.52</f>
        <v>245686.0506414109</v>
      </c>
      <c r="F4" s="8">
        <f>Table1[[#This Row],[Population projection 2020]]*0.08</f>
        <v>37797.853944832445</v>
      </c>
      <c r="G4" s="8">
        <f>Table1[[#This Row],[Population projection 2020]]*0.14</f>
        <v>66146.244403456789</v>
      </c>
      <c r="H4" s="8">
        <f>Table1[[#This Row],[Population projection 2020]]*0.45</f>
        <v>212612.9284396825</v>
      </c>
      <c r="I4" s="8">
        <f>Table1[[#This Row],[Female]]*0.58</f>
        <v>142497.9093720183</v>
      </c>
      <c r="J4" s="8">
        <f>Table1[[#This Row],[Male]]*0.58</f>
        <v>131536.53172801691</v>
      </c>
      <c r="K4" s="8">
        <f>Table1[[#This Row],[Population projection 2020]]*0.02</f>
        <v>9449.4634862081111</v>
      </c>
      <c r="L4" s="55">
        <f>SUM(Table1[[#This Row],[IDPs / Migrants Male]:[IDPs / Migrants Female]])</f>
        <v>0</v>
      </c>
      <c r="M4" s="8"/>
      <c r="N4" s="8"/>
      <c r="O4" s="8"/>
      <c r="P4" s="8"/>
      <c r="Q4" s="8"/>
      <c r="R4" s="8"/>
      <c r="S4" s="8">
        <f>Table1[[#This Row],[Population projection 2020]]*0.07</f>
        <v>33073.122201728394</v>
      </c>
    </row>
    <row r="5" spans="1:19" x14ac:dyDescent="0.2">
      <c r="A5" s="3" t="s">
        <v>84</v>
      </c>
      <c r="B5" s="3" t="s">
        <v>86</v>
      </c>
      <c r="C5" s="8">
        <v>221727.67267225965</v>
      </c>
      <c r="D5" s="8">
        <f>Table1[[#This Row],[Population projection 2020]]*0.48</f>
        <v>106429.28288268462</v>
      </c>
      <c r="E5" s="8">
        <f>Table1[[#This Row],[Population projection 2020]]*0.52</f>
        <v>115298.38978957503</v>
      </c>
      <c r="F5" s="8">
        <f>Table1[[#This Row],[Population projection 2020]]*0.08</f>
        <v>17738.213813780774</v>
      </c>
      <c r="G5" s="8">
        <f>Table1[[#This Row],[Population projection 2020]]*0.14</f>
        <v>31041.874174116354</v>
      </c>
      <c r="H5" s="8">
        <f>Table1[[#This Row],[Population projection 2020]]*0.45</f>
        <v>99777.45270251685</v>
      </c>
      <c r="I5" s="8">
        <f>Table1[[#This Row],[Female]]*0.58</f>
        <v>66873.06607795351</v>
      </c>
      <c r="J5" s="8">
        <f>Table1[[#This Row],[Male]]*0.58</f>
        <v>61728.984071957078</v>
      </c>
      <c r="K5" s="8">
        <f>Table1[[#This Row],[Population projection 2020]]*0.02</f>
        <v>4434.5534534451936</v>
      </c>
      <c r="L5" s="55">
        <f>SUM(Table1[[#This Row],[IDPs / Migrants Male]:[IDPs / Migrants Female]])</f>
        <v>0</v>
      </c>
      <c r="M5" s="8"/>
      <c r="N5" s="8"/>
      <c r="O5" s="8"/>
      <c r="P5" s="8"/>
      <c r="Q5" s="8"/>
      <c r="R5" s="8"/>
      <c r="S5" s="8">
        <f>Table1[[#This Row],[Population projection 2020]]*0.07</f>
        <v>15520.937087058177</v>
      </c>
    </row>
    <row r="6" spans="1:19" x14ac:dyDescent="0.2">
      <c r="A6" s="3" t="s">
        <v>84</v>
      </c>
      <c r="B6" s="3" t="s">
        <v>84</v>
      </c>
      <c r="C6" s="8">
        <v>1966516.6605599653</v>
      </c>
      <c r="D6" s="8">
        <f>Table1[[#This Row],[Population projection 2020]]*0.48</f>
        <v>943927.99706878327</v>
      </c>
      <c r="E6" s="8">
        <f>Table1[[#This Row],[Population projection 2020]]*0.52</f>
        <v>1022588.663491182</v>
      </c>
      <c r="F6" s="8">
        <f>Table1[[#This Row],[Population projection 2020]]*0.08</f>
        <v>157321.33284479723</v>
      </c>
      <c r="G6" s="8">
        <f>Table1[[#This Row],[Population projection 2020]]*0.14</f>
        <v>275312.33247839514</v>
      </c>
      <c r="H6" s="8">
        <f>Table1[[#This Row],[Population projection 2020]]*0.45</f>
        <v>884932.49725198443</v>
      </c>
      <c r="I6" s="8">
        <f>Table1[[#This Row],[Female]]*0.58</f>
        <v>593101.42482488556</v>
      </c>
      <c r="J6" s="8">
        <f>Table1[[#This Row],[Male]]*0.58</f>
        <v>547478.23829989426</v>
      </c>
      <c r="K6" s="8">
        <f>Table1[[#This Row],[Population projection 2020]]*0.02</f>
        <v>39330.333211199308</v>
      </c>
      <c r="L6" s="55">
        <f>SUM(Table1[[#This Row],[IDPs / Migrants Male]:[IDPs / Migrants Female]])</f>
        <v>0</v>
      </c>
      <c r="M6" s="8"/>
      <c r="N6" s="8"/>
      <c r="O6" s="8">
        <v>5646</v>
      </c>
      <c r="P6" s="8">
        <v>2710</v>
      </c>
      <c r="Q6" s="8">
        <v>2936</v>
      </c>
      <c r="R6" s="8">
        <v>829</v>
      </c>
      <c r="S6" s="8">
        <f>Table1[[#This Row],[Population projection 2020]]*0.07</f>
        <v>137656.16623919757</v>
      </c>
    </row>
    <row r="7" spans="1:19" x14ac:dyDescent="0.2">
      <c r="A7" s="3" t="s">
        <v>84</v>
      </c>
      <c r="B7" s="3" t="s">
        <v>87</v>
      </c>
      <c r="C7" s="8">
        <v>150410.49245736958</v>
      </c>
      <c r="D7" s="8">
        <f>Table1[[#This Row],[Population projection 2020]]*0.48</f>
        <v>72197.0363795374</v>
      </c>
      <c r="E7" s="8">
        <f>Table1[[#This Row],[Population projection 2020]]*0.52</f>
        <v>78213.456077832176</v>
      </c>
      <c r="F7" s="8">
        <f>Table1[[#This Row],[Population projection 2020]]*0.08</f>
        <v>12032.839396589567</v>
      </c>
      <c r="G7" s="8">
        <f>Table1[[#This Row],[Population projection 2020]]*0.14</f>
        <v>21057.468944031742</v>
      </c>
      <c r="H7" s="8">
        <f>Table1[[#This Row],[Population projection 2020]]*0.45</f>
        <v>67684.721605816318</v>
      </c>
      <c r="I7" s="8">
        <f>Table1[[#This Row],[Female]]*0.58</f>
        <v>45363.804525142659</v>
      </c>
      <c r="J7" s="8">
        <f>Table1[[#This Row],[Male]]*0.58</f>
        <v>41874.281100131688</v>
      </c>
      <c r="K7" s="8">
        <f>Table1[[#This Row],[Population projection 2020]]*0.02</f>
        <v>3008.2098491473917</v>
      </c>
      <c r="L7" s="55">
        <f>SUM(Table1[[#This Row],[IDPs / Migrants Male]:[IDPs / Migrants Female]])</f>
        <v>0</v>
      </c>
      <c r="M7" s="8"/>
      <c r="N7" s="8"/>
      <c r="O7" s="8"/>
      <c r="P7" s="8"/>
      <c r="Q7" s="8"/>
      <c r="R7" s="8"/>
      <c r="S7" s="8">
        <f>Table1[[#This Row],[Population projection 2020]]*0.07</f>
        <v>10528.734472015871</v>
      </c>
    </row>
    <row r="8" spans="1:19" x14ac:dyDescent="0.2">
      <c r="A8" s="3" t="s">
        <v>6</v>
      </c>
      <c r="B8" s="3" t="s">
        <v>7</v>
      </c>
      <c r="C8" s="8">
        <v>287264.58794954978</v>
      </c>
      <c r="D8" s="8">
        <f>Table1[[#This Row],[Population projection 2020]]*0.47</f>
        <v>135014.35633628839</v>
      </c>
      <c r="E8" s="8">
        <f>Table1[[#This Row],[Population projection 2020]]*0.53</f>
        <v>152250.23161326139</v>
      </c>
      <c r="F8" s="8">
        <f>Table1[[#This Row],[Population projection 2020]]*0.08</f>
        <v>22981.167035963983</v>
      </c>
      <c r="G8" s="8">
        <f>Table1[[#This Row],[Population projection 2020]]*0.16</f>
        <v>45962.334071927966</v>
      </c>
      <c r="H8" s="8">
        <f>Table1[[#This Row],[Population projection 2020]]*0.55</f>
        <v>157995.52337225238</v>
      </c>
      <c r="I8" s="8">
        <f>Table1[[#This Row],[Female]]*0.44</f>
        <v>66990.101909835008</v>
      </c>
      <c r="J8" s="8">
        <f>Table1[[#This Row],[Male]]*0.44</f>
        <v>59406.316787966891</v>
      </c>
      <c r="K8" s="8">
        <f>Table1[[#This Row],[Population projection 2020]]*0.05</f>
        <v>14363.229397477489</v>
      </c>
      <c r="L8" s="55">
        <f>SUM(Table1[[#This Row],[IDPs / Migrants Male]:[IDPs / Migrants Female]])</f>
        <v>2151</v>
      </c>
      <c r="M8" s="8">
        <v>997</v>
      </c>
      <c r="N8" s="8">
        <v>1154</v>
      </c>
      <c r="O8" s="8"/>
      <c r="P8" s="8"/>
      <c r="Q8" s="8"/>
      <c r="R8" s="8"/>
      <c r="S8" s="8">
        <f>Table1[[#This Row],[Population projection 2020]]*0.07</f>
        <v>20108.521156468487</v>
      </c>
    </row>
    <row r="9" spans="1:19" x14ac:dyDescent="0.2">
      <c r="A9" s="3" t="s">
        <v>6</v>
      </c>
      <c r="B9" s="3" t="s">
        <v>8</v>
      </c>
      <c r="C9" s="8">
        <v>157653.32196419462</v>
      </c>
      <c r="D9" s="8">
        <f>Table1[[#This Row],[Population projection 2020]]*0.47</f>
        <v>74097.061323171467</v>
      </c>
      <c r="E9" s="8">
        <f>Table1[[#This Row],[Population projection 2020]]*0.53</f>
        <v>83556.260641023153</v>
      </c>
      <c r="F9" s="8">
        <f>Table1[[#This Row],[Population projection 2020]]*0.08</f>
        <v>12612.26575713557</v>
      </c>
      <c r="G9" s="8">
        <f>Table1[[#This Row],[Population projection 2020]]*0.16</f>
        <v>25224.531514271141</v>
      </c>
      <c r="H9" s="8">
        <f>Table1[[#This Row],[Population projection 2020]]*0.55</f>
        <v>86709.327080307048</v>
      </c>
      <c r="I9" s="8">
        <f>Table1[[#This Row],[Female]]*0.44</f>
        <v>36764.754682050188</v>
      </c>
      <c r="J9" s="8">
        <f>Table1[[#This Row],[Male]]*0.44</f>
        <v>32602.706982195446</v>
      </c>
      <c r="K9" s="8">
        <f>Table1[[#This Row],[Population projection 2020]]*0.05</f>
        <v>7882.666098209731</v>
      </c>
      <c r="L9" s="55">
        <f>SUM(Table1[[#This Row],[IDPs / Migrants Male]:[IDPs / Migrants Female]])</f>
        <v>4048</v>
      </c>
      <c r="M9" s="8">
        <v>1639</v>
      </c>
      <c r="N9" s="8">
        <v>2409</v>
      </c>
      <c r="O9" s="8"/>
      <c r="P9" s="8"/>
      <c r="Q9" s="8"/>
      <c r="R9" s="8"/>
      <c r="S9" s="8">
        <f>Table1[[#This Row],[Population projection 2020]]*0.07</f>
        <v>11035.732537493624</v>
      </c>
    </row>
    <row r="10" spans="1:19" x14ac:dyDescent="0.2">
      <c r="A10" s="3" t="s">
        <v>6</v>
      </c>
      <c r="B10" s="3" t="s">
        <v>89</v>
      </c>
      <c r="C10" s="8">
        <v>349142.40691493911</v>
      </c>
      <c r="D10" s="8">
        <f>Table1[[#This Row],[Population projection 2020]]*0.47</f>
        <v>164096.93125002139</v>
      </c>
      <c r="E10" s="8">
        <f>Table1[[#This Row],[Population projection 2020]]*0.53</f>
        <v>185045.47566491773</v>
      </c>
      <c r="F10" s="8">
        <f>Table1[[#This Row],[Population projection 2020]]*0.08</f>
        <v>27931.392553195128</v>
      </c>
      <c r="G10" s="8">
        <f>Table1[[#This Row],[Population projection 2020]]*0.16</f>
        <v>55862.785106390256</v>
      </c>
      <c r="H10" s="8">
        <f>Table1[[#This Row],[Population projection 2020]]*0.55</f>
        <v>192028.32380321654</v>
      </c>
      <c r="I10" s="8">
        <f>Table1[[#This Row],[Female]]*0.44</f>
        <v>81420.009292563802</v>
      </c>
      <c r="J10" s="8">
        <f>Table1[[#This Row],[Male]]*0.44</f>
        <v>72202.649750009412</v>
      </c>
      <c r="K10" s="8">
        <f>Table1[[#This Row],[Population projection 2020]]*0.05</f>
        <v>17457.120345746956</v>
      </c>
      <c r="L10" s="55">
        <f>SUM(Table1[[#This Row],[IDPs / Migrants Male]:[IDPs / Migrants Female]])</f>
        <v>14344</v>
      </c>
      <c r="M10" s="8">
        <v>5580</v>
      </c>
      <c r="N10" s="8">
        <v>8764</v>
      </c>
      <c r="O10" s="8">
        <v>1051</v>
      </c>
      <c r="P10" s="8">
        <v>723</v>
      </c>
      <c r="Q10" s="8">
        <v>1774</v>
      </c>
      <c r="R10" s="8">
        <v>14576</v>
      </c>
      <c r="S10" s="8">
        <f>Table1[[#This Row],[Population projection 2020]]*0.07</f>
        <v>24439.968484045741</v>
      </c>
    </row>
    <row r="11" spans="1:19" x14ac:dyDescent="0.2">
      <c r="A11" s="3" t="s">
        <v>6</v>
      </c>
      <c r="B11" s="3" t="s">
        <v>14</v>
      </c>
      <c r="C11" s="8">
        <v>29549.190893125913</v>
      </c>
      <c r="D11" s="8">
        <f>Table1[[#This Row],[Population projection 2020]]*0.47</f>
        <v>13888.119719769178</v>
      </c>
      <c r="E11" s="8">
        <f>Table1[[#This Row],[Population projection 2020]]*0.53</f>
        <v>15661.071173356735</v>
      </c>
      <c r="F11" s="8">
        <f>Table1[[#This Row],[Population projection 2020]]*0.08</f>
        <v>2363.9352714500733</v>
      </c>
      <c r="G11" s="8">
        <f>Table1[[#This Row],[Population projection 2020]]*0.16</f>
        <v>4727.8705429001466</v>
      </c>
      <c r="H11" s="8">
        <f>Table1[[#This Row],[Population projection 2020]]*0.55</f>
        <v>16252.054991219253</v>
      </c>
      <c r="I11" s="8">
        <f>Table1[[#This Row],[Female]]*0.44</f>
        <v>6890.8713162769636</v>
      </c>
      <c r="J11" s="8">
        <f>Table1[[#This Row],[Male]]*0.44</f>
        <v>6110.7726766984388</v>
      </c>
      <c r="K11" s="8">
        <f>Table1[[#This Row],[Population projection 2020]]*0.05</f>
        <v>1477.4595446562957</v>
      </c>
      <c r="L11" s="55">
        <f>SUM(Table1[[#This Row],[IDPs / Migrants Male]:[IDPs / Migrants Female]])</f>
        <v>0</v>
      </c>
      <c r="M11" s="8"/>
      <c r="N11" s="8"/>
      <c r="O11" s="8"/>
      <c r="P11" s="8"/>
      <c r="Q11" s="8"/>
      <c r="R11" s="8"/>
      <c r="S11" s="8">
        <f>Table1[[#This Row],[Population projection 2020]]*0.07</f>
        <v>2068.443362518814</v>
      </c>
    </row>
    <row r="12" spans="1:19" x14ac:dyDescent="0.2">
      <c r="A12" s="3" t="s">
        <v>6</v>
      </c>
      <c r="B12" s="3" t="s">
        <v>9</v>
      </c>
      <c r="C12" s="8">
        <v>318180.71516028431</v>
      </c>
      <c r="D12" s="8">
        <f>Table1[[#This Row],[Population projection 2020]]*0.47</f>
        <v>149544.93612533362</v>
      </c>
      <c r="E12" s="8">
        <f>Table1[[#This Row],[Population projection 2020]]*0.53</f>
        <v>168635.77903495068</v>
      </c>
      <c r="F12" s="8">
        <f>Table1[[#This Row],[Population projection 2020]]*0.08</f>
        <v>25454.457212822745</v>
      </c>
      <c r="G12" s="8">
        <f>Table1[[#This Row],[Population projection 2020]]*0.16</f>
        <v>50908.914425645489</v>
      </c>
      <c r="H12" s="8">
        <f>Table1[[#This Row],[Population projection 2020]]*0.55</f>
        <v>174999.39333815637</v>
      </c>
      <c r="I12" s="8">
        <f>Table1[[#This Row],[Female]]*0.44</f>
        <v>74199.742775378298</v>
      </c>
      <c r="J12" s="8">
        <f>Table1[[#This Row],[Male]]*0.44</f>
        <v>65799.771895146798</v>
      </c>
      <c r="K12" s="8">
        <f>Table1[[#This Row],[Population projection 2020]]*0.05</f>
        <v>15909.035758014215</v>
      </c>
      <c r="L12" s="55">
        <f>SUM(Table1[[#This Row],[IDPs / Migrants Male]:[IDPs / Migrants Female]])</f>
        <v>355</v>
      </c>
      <c r="M12" s="8">
        <v>117</v>
      </c>
      <c r="N12" s="8">
        <v>238</v>
      </c>
      <c r="O12" s="8"/>
      <c r="P12" s="8"/>
      <c r="Q12" s="8"/>
      <c r="R12" s="8"/>
      <c r="S12" s="8">
        <f>Table1[[#This Row],[Population projection 2020]]*0.07</f>
        <v>22272.650061219905</v>
      </c>
    </row>
    <row r="13" spans="1:19" x14ac:dyDescent="0.2">
      <c r="A13" s="3" t="s">
        <v>6</v>
      </c>
      <c r="B13" s="3" t="s">
        <v>88</v>
      </c>
      <c r="C13" s="8">
        <v>306245.14129644696</v>
      </c>
      <c r="D13" s="8">
        <f>Table1[[#This Row],[Population projection 2020]]*0.47</f>
        <v>143935.21640933005</v>
      </c>
      <c r="E13" s="8">
        <f>Table1[[#This Row],[Population projection 2020]]*0.53</f>
        <v>162309.92488711691</v>
      </c>
      <c r="F13" s="8">
        <f>Table1[[#This Row],[Population projection 2020]]*0.08</f>
        <v>24499.611303715759</v>
      </c>
      <c r="G13" s="8">
        <f>Table1[[#This Row],[Population projection 2020]]*0.16</f>
        <v>48999.222607431519</v>
      </c>
      <c r="H13" s="8">
        <f>Table1[[#This Row],[Population projection 2020]]*0.55</f>
        <v>168434.82771304584</v>
      </c>
      <c r="I13" s="8">
        <f>Table1[[#This Row],[Female]]*0.44</f>
        <v>71416.366950331445</v>
      </c>
      <c r="J13" s="8">
        <f>Table1[[#This Row],[Male]]*0.44</f>
        <v>63331.495220105222</v>
      </c>
      <c r="K13" s="8">
        <f>Table1[[#This Row],[Population projection 2020]]*0.05</f>
        <v>15312.257064822348</v>
      </c>
      <c r="L13" s="55">
        <f>SUM(Table1[[#This Row],[IDPs / Migrants Male]:[IDPs / Migrants Female]])</f>
        <v>2668</v>
      </c>
      <c r="M13" s="8">
        <v>931</v>
      </c>
      <c r="N13" s="8">
        <v>1737</v>
      </c>
      <c r="O13" s="8"/>
      <c r="P13" s="8"/>
      <c r="Q13" s="8"/>
      <c r="R13" s="8"/>
      <c r="S13" s="8">
        <f>Table1[[#This Row],[Population projection 2020]]*0.07</f>
        <v>21437.159890751289</v>
      </c>
    </row>
    <row r="14" spans="1:19" x14ac:dyDescent="0.2">
      <c r="A14" s="3" t="s">
        <v>6</v>
      </c>
      <c r="B14" s="3" t="s">
        <v>12</v>
      </c>
      <c r="C14" s="8">
        <v>219201.67422739117</v>
      </c>
      <c r="D14" s="8">
        <f>Table1[[#This Row],[Population projection 2020]]*0.47</f>
        <v>103024.78688687384</v>
      </c>
      <c r="E14" s="8">
        <f>Table1[[#This Row],[Population projection 2020]]*0.53</f>
        <v>116176.88734051732</v>
      </c>
      <c r="F14" s="8">
        <f>Table1[[#This Row],[Population projection 2020]]*0.08</f>
        <v>17536.133938191295</v>
      </c>
      <c r="G14" s="8">
        <f>Table1[[#This Row],[Population projection 2020]]*0.16</f>
        <v>35072.26787638259</v>
      </c>
      <c r="H14" s="8">
        <f>Table1[[#This Row],[Population projection 2020]]*0.55</f>
        <v>120560.92082506516</v>
      </c>
      <c r="I14" s="8">
        <f>Table1[[#This Row],[Female]]*0.44</f>
        <v>51117.83042982762</v>
      </c>
      <c r="J14" s="8">
        <f>Table1[[#This Row],[Male]]*0.44</f>
        <v>45330.906230224493</v>
      </c>
      <c r="K14" s="8">
        <f>Table1[[#This Row],[Population projection 2020]]*0.05</f>
        <v>10960.08371136956</v>
      </c>
      <c r="L14" s="55">
        <f>SUM(Table1[[#This Row],[IDPs / Migrants Male]:[IDPs / Migrants Female]])</f>
        <v>0</v>
      </c>
      <c r="M14" s="8"/>
      <c r="N14" s="8"/>
      <c r="O14" s="8"/>
      <c r="P14" s="8"/>
      <c r="Q14" s="8"/>
      <c r="R14" s="8"/>
      <c r="S14" s="8">
        <f>Table1[[#This Row],[Population projection 2020]]*0.07</f>
        <v>15344.117195917383</v>
      </c>
    </row>
    <row r="15" spans="1:19" x14ac:dyDescent="0.2">
      <c r="A15" s="3" t="s">
        <v>6</v>
      </c>
      <c r="B15" s="3" t="s">
        <v>10</v>
      </c>
      <c r="C15" s="8">
        <v>197150.77161324999</v>
      </c>
      <c r="D15" s="8">
        <f>Table1[[#This Row],[Population projection 2020]]*0.47</f>
        <v>92660.862658227488</v>
      </c>
      <c r="E15" s="8">
        <f>Table1[[#This Row],[Population projection 2020]]*0.53</f>
        <v>104489.9089550225</v>
      </c>
      <c r="F15" s="8">
        <f>Table1[[#This Row],[Population projection 2020]]*0.08</f>
        <v>15772.06172906</v>
      </c>
      <c r="G15" s="8">
        <f>Table1[[#This Row],[Population projection 2020]]*0.16</f>
        <v>31544.123458120001</v>
      </c>
      <c r="H15" s="8">
        <f>Table1[[#This Row],[Population projection 2020]]*0.55</f>
        <v>108432.92438728751</v>
      </c>
      <c r="I15" s="8">
        <f>Table1[[#This Row],[Female]]*0.44</f>
        <v>45975.559940209903</v>
      </c>
      <c r="J15" s="8">
        <f>Table1[[#This Row],[Male]]*0.44</f>
        <v>40770.779569620092</v>
      </c>
      <c r="K15" s="8">
        <f>Table1[[#This Row],[Population projection 2020]]*0.05</f>
        <v>9857.5385806625</v>
      </c>
      <c r="L15" s="55">
        <f>SUM(Table1[[#This Row],[IDPs / Migrants Male]:[IDPs / Migrants Female]])</f>
        <v>291</v>
      </c>
      <c r="M15" s="8">
        <v>122</v>
      </c>
      <c r="N15" s="8">
        <v>169</v>
      </c>
      <c r="O15" s="8"/>
      <c r="P15" s="8"/>
      <c r="Q15" s="8"/>
      <c r="R15" s="8"/>
      <c r="S15" s="8">
        <f>Table1[[#This Row],[Population projection 2020]]*0.07</f>
        <v>13800.554012927501</v>
      </c>
    </row>
    <row r="16" spans="1:19" x14ac:dyDescent="0.2">
      <c r="A16" s="3" t="s">
        <v>6</v>
      </c>
      <c r="B16" s="3" t="s">
        <v>11</v>
      </c>
      <c r="C16" s="8">
        <v>147908.351173448</v>
      </c>
      <c r="D16" s="8">
        <f>Table1[[#This Row],[Population projection 2020]]*0.47</f>
        <v>69516.925051520549</v>
      </c>
      <c r="E16" s="8">
        <f>Table1[[#This Row],[Population projection 2020]]*0.53</f>
        <v>78391.426121927449</v>
      </c>
      <c r="F16" s="8">
        <f>Table1[[#This Row],[Population projection 2020]]*0.08</f>
        <v>11832.66809387584</v>
      </c>
      <c r="G16" s="8">
        <f>Table1[[#This Row],[Population projection 2020]]*0.16</f>
        <v>23665.33618775168</v>
      </c>
      <c r="H16" s="8">
        <f>Table1[[#This Row],[Population projection 2020]]*0.55</f>
        <v>81349.5931453964</v>
      </c>
      <c r="I16" s="8">
        <f>Table1[[#This Row],[Female]]*0.44</f>
        <v>34492.227493648075</v>
      </c>
      <c r="J16" s="8">
        <f>Table1[[#This Row],[Male]]*0.44</f>
        <v>30587.447022669043</v>
      </c>
      <c r="K16" s="8">
        <f>Table1[[#This Row],[Population projection 2020]]*0.05</f>
        <v>7395.4175586724004</v>
      </c>
      <c r="L16" s="55">
        <f>SUM(Table1[[#This Row],[IDPs / Migrants Male]:[IDPs / Migrants Female]])</f>
        <v>150</v>
      </c>
      <c r="M16" s="8">
        <v>72</v>
      </c>
      <c r="N16" s="8">
        <v>78</v>
      </c>
      <c r="O16" s="8"/>
      <c r="P16" s="8"/>
      <c r="Q16" s="8"/>
      <c r="R16" s="8"/>
      <c r="S16" s="8">
        <f>Table1[[#This Row],[Population projection 2020]]*0.07</f>
        <v>10353.58458214136</v>
      </c>
    </row>
    <row r="17" spans="1:19" x14ac:dyDescent="0.2">
      <c r="A17" s="3" t="s">
        <v>6</v>
      </c>
      <c r="B17" s="3" t="s">
        <v>13</v>
      </c>
      <c r="C17" s="8">
        <v>35418.838807370121</v>
      </c>
      <c r="D17" s="8">
        <f>Table1[[#This Row],[Population projection 2020]]*0.47</f>
        <v>16646.854239463955</v>
      </c>
      <c r="E17" s="8">
        <f>Table1[[#This Row],[Population projection 2020]]*0.53</f>
        <v>18771.984567906165</v>
      </c>
      <c r="F17" s="8">
        <f>Table1[[#This Row],[Population projection 2020]]*0.08</f>
        <v>2833.5071045896098</v>
      </c>
      <c r="G17" s="8">
        <f>Table1[[#This Row],[Population projection 2020]]*0.16</f>
        <v>5667.0142091792195</v>
      </c>
      <c r="H17" s="8">
        <f>Table1[[#This Row],[Population projection 2020]]*0.55</f>
        <v>19480.361344053566</v>
      </c>
      <c r="I17" s="8">
        <f>Table1[[#This Row],[Female]]*0.44</f>
        <v>8259.6732098787124</v>
      </c>
      <c r="J17" s="8">
        <f>Table1[[#This Row],[Male]]*0.44</f>
        <v>7324.6158653641405</v>
      </c>
      <c r="K17" s="8">
        <f>Table1[[#This Row],[Population projection 2020]]*0.05</f>
        <v>1770.941940368506</v>
      </c>
      <c r="L17" s="55">
        <f>SUM(Table1[[#This Row],[IDPs / Migrants Male]:[IDPs / Migrants Female]])</f>
        <v>0</v>
      </c>
      <c r="M17" s="8"/>
      <c r="N17" s="8"/>
      <c r="O17" s="8"/>
      <c r="P17" s="8"/>
      <c r="Q17" s="8"/>
      <c r="R17" s="8"/>
      <c r="S17" s="8">
        <f>Table1[[#This Row],[Population projection 2020]]*0.07</f>
        <v>2479.3187165159088</v>
      </c>
    </row>
    <row r="18" spans="1:19" x14ac:dyDescent="0.2">
      <c r="A18" s="3" t="s">
        <v>15</v>
      </c>
      <c r="B18" s="3" t="s">
        <v>90</v>
      </c>
      <c r="C18" s="8">
        <v>159223.21835976816</v>
      </c>
      <c r="D18" s="8">
        <f>Table1[[#This Row],[Population projection 2020]]*0.49</f>
        <v>78019.376996286403</v>
      </c>
      <c r="E18" s="8">
        <f>Table1[[#This Row],[Population projection 2020]]*0.51</f>
        <v>81203.841363481755</v>
      </c>
      <c r="F18" s="8">
        <f>Table1[[#This Row],[Population projection 2020]]*0.08</f>
        <v>12737.857468781453</v>
      </c>
      <c r="G18" s="8">
        <f>Table1[[#This Row],[Population projection 2020]]*0.16</f>
        <v>25475.714937562905</v>
      </c>
      <c r="H18" s="8">
        <f>Table1[[#This Row],[Population projection 2020]]*0.53</f>
        <v>84388.305730677122</v>
      </c>
      <c r="I18" s="8">
        <f>Table1[[#This Row],[Female]]*0.46</f>
        <v>37353.767027201611</v>
      </c>
      <c r="J18" s="8">
        <f>Table1[[#This Row],[Male]]*0.47</f>
        <v>36669.107188254609</v>
      </c>
      <c r="K18" s="8">
        <f>Table1[[#This Row],[Population projection 2020]]*0.04</f>
        <v>6368.9287343907263</v>
      </c>
      <c r="L18" s="55">
        <f>SUM(Table1[[#This Row],[IDPs / Migrants Male]:[IDPs / Migrants Female]])</f>
        <v>0</v>
      </c>
      <c r="M18" s="8"/>
      <c r="N18" s="8"/>
      <c r="O18" s="8">
        <v>225</v>
      </c>
      <c r="P18" s="8">
        <v>94</v>
      </c>
      <c r="Q18" s="8">
        <v>131</v>
      </c>
      <c r="R18" s="8"/>
      <c r="S18" s="8">
        <f>Table1[[#This Row],[Population projection 2020]]*0.07</f>
        <v>11145.625285183773</v>
      </c>
    </row>
    <row r="19" spans="1:19" x14ac:dyDescent="0.2">
      <c r="A19" s="3" t="s">
        <v>15</v>
      </c>
      <c r="B19" s="3" t="s">
        <v>24</v>
      </c>
      <c r="C19" s="8">
        <v>55535.29465866102</v>
      </c>
      <c r="D19" s="8">
        <f>Table1[[#This Row],[Population projection 2020]]*0.49</f>
        <v>27212.294382743898</v>
      </c>
      <c r="E19" s="8">
        <f>Table1[[#This Row],[Population projection 2020]]*0.51</f>
        <v>28323.000275917122</v>
      </c>
      <c r="F19" s="8">
        <f>Table1[[#This Row],[Population projection 2020]]*0.08</f>
        <v>4442.8235726928815</v>
      </c>
      <c r="G19" s="8">
        <f>Table1[[#This Row],[Population projection 2020]]*0.16</f>
        <v>8885.647145385763</v>
      </c>
      <c r="H19" s="8">
        <f>Table1[[#This Row],[Population projection 2020]]*0.53</f>
        <v>29433.706169090343</v>
      </c>
      <c r="I19" s="8">
        <f>Table1[[#This Row],[Female]]*0.46</f>
        <v>13028.580126921877</v>
      </c>
      <c r="J19" s="8">
        <f>Table1[[#This Row],[Male]]*0.47</f>
        <v>12789.778359889631</v>
      </c>
      <c r="K19" s="8">
        <f>Table1[[#This Row],[Population projection 2020]]*0.04</f>
        <v>2221.4117863464407</v>
      </c>
      <c r="L19" s="55">
        <f>SUM(Table1[[#This Row],[IDPs / Migrants Male]:[IDPs / Migrants Female]])</f>
        <v>0</v>
      </c>
      <c r="M19" s="8"/>
      <c r="N19" s="8"/>
      <c r="O19" s="8"/>
      <c r="P19" s="8"/>
      <c r="Q19" s="8"/>
      <c r="R19" s="8"/>
      <c r="S19" s="8">
        <f>Table1[[#This Row],[Population projection 2020]]*0.07</f>
        <v>3887.4706261062715</v>
      </c>
    </row>
    <row r="20" spans="1:19" x14ac:dyDescent="0.2">
      <c r="A20" s="3" t="s">
        <v>15</v>
      </c>
      <c r="B20" s="3" t="s">
        <v>16</v>
      </c>
      <c r="C20" s="8">
        <v>156135.87559087912</v>
      </c>
      <c r="D20" s="8">
        <f>Table1[[#This Row],[Population projection 2020]]*0.49</f>
        <v>76506.57903953077</v>
      </c>
      <c r="E20" s="8">
        <f>Table1[[#This Row],[Population projection 2020]]*0.51</f>
        <v>79629.29655134835</v>
      </c>
      <c r="F20" s="8">
        <f>Table1[[#This Row],[Population projection 2020]]*0.08</f>
        <v>12490.870047270329</v>
      </c>
      <c r="G20" s="8">
        <f>Table1[[#This Row],[Population projection 2020]]*0.16</f>
        <v>24981.740094540659</v>
      </c>
      <c r="H20" s="8">
        <f>Table1[[#This Row],[Population projection 2020]]*0.53</f>
        <v>82752.014063165945</v>
      </c>
      <c r="I20" s="8">
        <f>Table1[[#This Row],[Female]]*0.46</f>
        <v>36629.476413620243</v>
      </c>
      <c r="J20" s="8">
        <f>Table1[[#This Row],[Male]]*0.47</f>
        <v>35958.092148579461</v>
      </c>
      <c r="K20" s="8">
        <f>Table1[[#This Row],[Population projection 2020]]*0.04</f>
        <v>6245.4350236351647</v>
      </c>
      <c r="L20" s="55">
        <f>SUM(Table1[[#This Row],[IDPs / Migrants Male]:[IDPs / Migrants Female]])</f>
        <v>0</v>
      </c>
      <c r="M20" s="8"/>
      <c r="N20" s="8"/>
      <c r="O20" s="8"/>
      <c r="P20" s="8"/>
      <c r="Q20" s="8"/>
      <c r="R20" s="8"/>
      <c r="S20" s="8">
        <f>Table1[[#This Row],[Population projection 2020]]*0.07</f>
        <v>10929.511291361539</v>
      </c>
    </row>
    <row r="21" spans="1:19" x14ac:dyDescent="0.2">
      <c r="A21" s="3" t="s">
        <v>15</v>
      </c>
      <c r="B21" s="3" t="s">
        <v>17</v>
      </c>
      <c r="C21" s="8">
        <v>157725.3230625065</v>
      </c>
      <c r="D21" s="8">
        <f>Table1[[#This Row],[Population projection 2020]]*0.49</f>
        <v>77285.408300628187</v>
      </c>
      <c r="E21" s="8">
        <f>Table1[[#This Row],[Population projection 2020]]*0.51</f>
        <v>80439.914761878317</v>
      </c>
      <c r="F21" s="8">
        <f>Table1[[#This Row],[Population projection 2020]]*0.08</f>
        <v>12618.02584500052</v>
      </c>
      <c r="G21" s="8">
        <f>Table1[[#This Row],[Population projection 2020]]*0.16</f>
        <v>25236.051690001041</v>
      </c>
      <c r="H21" s="8">
        <f>Table1[[#This Row],[Population projection 2020]]*0.53</f>
        <v>83594.421223128447</v>
      </c>
      <c r="I21" s="8">
        <f>Table1[[#This Row],[Female]]*0.46</f>
        <v>37002.36079046403</v>
      </c>
      <c r="J21" s="8">
        <f>Table1[[#This Row],[Male]]*0.47</f>
        <v>36324.141901295246</v>
      </c>
      <c r="K21" s="8">
        <f>Table1[[#This Row],[Population projection 2020]]*0.04</f>
        <v>6309.0129225002602</v>
      </c>
      <c r="L21" s="55">
        <f>SUM(Table1[[#This Row],[IDPs / Migrants Male]:[IDPs / Migrants Female]])</f>
        <v>0</v>
      </c>
      <c r="M21" s="8"/>
      <c r="N21" s="8"/>
      <c r="O21" s="8"/>
      <c r="P21" s="8"/>
      <c r="Q21" s="8"/>
      <c r="R21" s="8"/>
      <c r="S21" s="8">
        <f>Table1[[#This Row],[Population projection 2020]]*0.07</f>
        <v>11040.772614375457</v>
      </c>
    </row>
    <row r="22" spans="1:19" x14ac:dyDescent="0.2">
      <c r="A22" s="3" t="s">
        <v>15</v>
      </c>
      <c r="B22" s="3" t="s">
        <v>18</v>
      </c>
      <c r="C22" s="8">
        <v>296845.20980113145</v>
      </c>
      <c r="D22" s="8">
        <f>Table1[[#This Row],[Population projection 2020]]*0.49</f>
        <v>145454.1528025544</v>
      </c>
      <c r="E22" s="8">
        <f>Table1[[#This Row],[Population projection 2020]]*0.51</f>
        <v>151391.05699857706</v>
      </c>
      <c r="F22" s="8">
        <f>Table1[[#This Row],[Population projection 2020]]*0.08</f>
        <v>23747.616784090518</v>
      </c>
      <c r="G22" s="8">
        <f>Table1[[#This Row],[Population projection 2020]]*0.16</f>
        <v>47495.233568181036</v>
      </c>
      <c r="H22" s="8">
        <f>Table1[[#This Row],[Population projection 2020]]*0.53</f>
        <v>157327.96119459969</v>
      </c>
      <c r="I22" s="8">
        <f>Table1[[#This Row],[Female]]*0.46</f>
        <v>69639.886219345455</v>
      </c>
      <c r="J22" s="8">
        <f>Table1[[#This Row],[Male]]*0.47</f>
        <v>68363.451817200563</v>
      </c>
      <c r="K22" s="8">
        <f>Table1[[#This Row],[Population projection 2020]]*0.04</f>
        <v>11873.808392045259</v>
      </c>
      <c r="L22" s="55">
        <f>SUM(Table1[[#This Row],[IDPs / Migrants Male]:[IDPs / Migrants Female]])</f>
        <v>0</v>
      </c>
      <c r="M22" s="8"/>
      <c r="N22" s="8"/>
      <c r="O22" s="8"/>
      <c r="P22" s="8"/>
      <c r="Q22" s="8"/>
      <c r="R22" s="8"/>
      <c r="S22" s="8">
        <f>Table1[[#This Row],[Population projection 2020]]*0.07</f>
        <v>20779.164686079203</v>
      </c>
    </row>
    <row r="23" spans="1:19" x14ac:dyDescent="0.2">
      <c r="A23" s="3" t="s">
        <v>15</v>
      </c>
      <c r="B23" s="3" t="s">
        <v>22</v>
      </c>
      <c r="C23" s="8">
        <v>104750.94617013154</v>
      </c>
      <c r="D23" s="8">
        <f>Table1[[#This Row],[Population projection 2020]]*0.49</f>
        <v>51327.963623364456</v>
      </c>
      <c r="E23" s="8">
        <f>Table1[[#This Row],[Population projection 2020]]*0.51</f>
        <v>53422.982546767089</v>
      </c>
      <c r="F23" s="8">
        <f>Table1[[#This Row],[Population projection 2020]]*0.08</f>
        <v>8380.0756936105245</v>
      </c>
      <c r="G23" s="8">
        <f>Table1[[#This Row],[Population projection 2020]]*0.16</f>
        <v>16760.151387221049</v>
      </c>
      <c r="H23" s="8">
        <f>Table1[[#This Row],[Population projection 2020]]*0.53</f>
        <v>55518.001470169722</v>
      </c>
      <c r="I23" s="8">
        <f>Table1[[#This Row],[Female]]*0.46</f>
        <v>24574.571971512862</v>
      </c>
      <c r="J23" s="8">
        <f>Table1[[#This Row],[Male]]*0.47</f>
        <v>24124.142902981293</v>
      </c>
      <c r="K23" s="8">
        <f>Table1[[#This Row],[Population projection 2020]]*0.04</f>
        <v>4190.0378468052622</v>
      </c>
      <c r="L23" s="55">
        <f>SUM(Table1[[#This Row],[IDPs / Migrants Male]:[IDPs / Migrants Female]])</f>
        <v>0</v>
      </c>
      <c r="M23" s="8"/>
      <c r="N23" s="8"/>
      <c r="O23" s="8"/>
      <c r="P23" s="8"/>
      <c r="Q23" s="8"/>
      <c r="R23" s="8"/>
      <c r="S23" s="8">
        <f>Table1[[#This Row],[Population projection 2020]]*0.07</f>
        <v>7332.5662319092089</v>
      </c>
    </row>
    <row r="24" spans="1:19" x14ac:dyDescent="0.2">
      <c r="A24" s="3" t="s">
        <v>15</v>
      </c>
      <c r="B24" s="3" t="s">
        <v>19</v>
      </c>
      <c r="C24" s="8">
        <v>270492.17072154931</v>
      </c>
      <c r="D24" s="8">
        <f>Table1[[#This Row],[Population projection 2020]]*0.49</f>
        <v>132541.16365355917</v>
      </c>
      <c r="E24" s="8">
        <f>Table1[[#This Row],[Population projection 2020]]*0.51</f>
        <v>137951.00706799014</v>
      </c>
      <c r="F24" s="8">
        <f>Table1[[#This Row],[Population projection 2020]]*0.08</f>
        <v>21639.373657723943</v>
      </c>
      <c r="G24" s="8">
        <f>Table1[[#This Row],[Population projection 2020]]*0.16</f>
        <v>43278.747315447887</v>
      </c>
      <c r="H24" s="8">
        <f>Table1[[#This Row],[Population projection 2020]]*0.53</f>
        <v>143360.85048242114</v>
      </c>
      <c r="I24" s="8">
        <f>Table1[[#This Row],[Female]]*0.46</f>
        <v>63457.463251275469</v>
      </c>
      <c r="J24" s="8">
        <f>Table1[[#This Row],[Male]]*0.47</f>
        <v>62294.346917172807</v>
      </c>
      <c r="K24" s="8">
        <f>Table1[[#This Row],[Population projection 2020]]*0.04</f>
        <v>10819.686828861972</v>
      </c>
      <c r="L24" s="55">
        <f>SUM(Table1[[#This Row],[IDPs / Migrants Male]:[IDPs / Migrants Female]])</f>
        <v>0</v>
      </c>
      <c r="M24" s="8"/>
      <c r="N24" s="8"/>
      <c r="O24" s="8"/>
      <c r="P24" s="8"/>
      <c r="Q24" s="8"/>
      <c r="R24" s="8"/>
      <c r="S24" s="8">
        <f>Table1[[#This Row],[Population projection 2020]]*0.07</f>
        <v>18934.451950508454</v>
      </c>
    </row>
    <row r="25" spans="1:19" x14ac:dyDescent="0.2">
      <c r="A25" s="3" t="s">
        <v>15</v>
      </c>
      <c r="B25" s="3" t="s">
        <v>23</v>
      </c>
      <c r="C25" s="8">
        <v>13413.665102557872</v>
      </c>
      <c r="D25" s="8">
        <f>Table1[[#This Row],[Population projection 2020]]*0.49</f>
        <v>6572.6959002533576</v>
      </c>
      <c r="E25" s="8">
        <f>Table1[[#This Row],[Population projection 2020]]*0.51</f>
        <v>6840.9692023045145</v>
      </c>
      <c r="F25" s="8">
        <f>Table1[[#This Row],[Population projection 2020]]*0.08</f>
        <v>1073.0932082046297</v>
      </c>
      <c r="G25" s="8">
        <f>Table1[[#This Row],[Population projection 2020]]*0.16</f>
        <v>2146.1864164092594</v>
      </c>
      <c r="H25" s="8">
        <f>Table1[[#This Row],[Population projection 2020]]*0.53</f>
        <v>7109.2425043556723</v>
      </c>
      <c r="I25" s="8">
        <f>Table1[[#This Row],[Female]]*0.46</f>
        <v>3146.845833060077</v>
      </c>
      <c r="J25" s="8">
        <f>Table1[[#This Row],[Male]]*0.47</f>
        <v>3089.1670731190779</v>
      </c>
      <c r="K25" s="8">
        <f>Table1[[#This Row],[Population projection 2020]]*0.04</f>
        <v>536.54660410231486</v>
      </c>
      <c r="L25" s="55">
        <f>SUM(Table1[[#This Row],[IDPs / Migrants Male]:[IDPs / Migrants Female]])</f>
        <v>0</v>
      </c>
      <c r="M25" s="8"/>
      <c r="N25" s="8"/>
      <c r="O25" s="8"/>
      <c r="P25" s="8"/>
      <c r="Q25" s="8"/>
      <c r="R25" s="8"/>
      <c r="S25" s="8">
        <f>Table1[[#This Row],[Population projection 2020]]*0.07</f>
        <v>938.95655717905117</v>
      </c>
    </row>
    <row r="26" spans="1:19" x14ac:dyDescent="0.2">
      <c r="A26" s="3" t="s">
        <v>15</v>
      </c>
      <c r="B26" s="3" t="s">
        <v>20</v>
      </c>
      <c r="C26" s="8">
        <v>94146.152639433596</v>
      </c>
      <c r="D26" s="8">
        <f>Table1[[#This Row],[Population projection 2020]]*0.49</f>
        <v>46131.614793322464</v>
      </c>
      <c r="E26" s="8">
        <f>Table1[[#This Row],[Population projection 2020]]*0.51</f>
        <v>48014.537846111132</v>
      </c>
      <c r="F26" s="8">
        <f>Table1[[#This Row],[Population projection 2020]]*0.08</f>
        <v>7531.6922111546883</v>
      </c>
      <c r="G26" s="8">
        <f>Table1[[#This Row],[Population projection 2020]]*0.16</f>
        <v>15063.384422309377</v>
      </c>
      <c r="H26" s="8">
        <f>Table1[[#This Row],[Population projection 2020]]*0.53</f>
        <v>49897.460898899808</v>
      </c>
      <c r="I26" s="8">
        <f>Table1[[#This Row],[Female]]*0.46</f>
        <v>22086.687409211121</v>
      </c>
      <c r="J26" s="8">
        <f>Table1[[#This Row],[Male]]*0.47</f>
        <v>21681.858952861556</v>
      </c>
      <c r="K26" s="8">
        <f>Table1[[#This Row],[Population projection 2020]]*0.04</f>
        <v>3765.8461055773441</v>
      </c>
      <c r="L26" s="55">
        <f>SUM(Table1[[#This Row],[IDPs / Migrants Male]:[IDPs / Migrants Female]])</f>
        <v>0</v>
      </c>
      <c r="M26" s="8"/>
      <c r="N26" s="8"/>
      <c r="O26" s="8"/>
      <c r="P26" s="8"/>
      <c r="Q26" s="8"/>
      <c r="R26" s="8"/>
      <c r="S26" s="8">
        <f>Table1[[#This Row],[Population projection 2020]]*0.07</f>
        <v>6590.2306847603522</v>
      </c>
    </row>
    <row r="27" spans="1:19" x14ac:dyDescent="0.2">
      <c r="A27" s="3" t="s">
        <v>15</v>
      </c>
      <c r="B27" s="3" t="s">
        <v>21</v>
      </c>
      <c r="C27" s="8">
        <v>157228.14389338146</v>
      </c>
      <c r="D27" s="8">
        <f>Table1[[#This Row],[Population projection 2020]]*0.49</f>
        <v>77041.790507756916</v>
      </c>
      <c r="E27" s="8">
        <f>Table1[[#This Row],[Population projection 2020]]*0.51</f>
        <v>80186.353385624549</v>
      </c>
      <c r="F27" s="8">
        <f>Table1[[#This Row],[Population projection 2020]]*0.08</f>
        <v>12578.251511470517</v>
      </c>
      <c r="G27" s="8">
        <f>Table1[[#This Row],[Population projection 2020]]*0.16</f>
        <v>25156.503022941033</v>
      </c>
      <c r="H27" s="8">
        <f>Table1[[#This Row],[Population projection 2020]]*0.53</f>
        <v>83330.916263492181</v>
      </c>
      <c r="I27" s="8">
        <f>Table1[[#This Row],[Female]]*0.46</f>
        <v>36885.722557387293</v>
      </c>
      <c r="J27" s="8">
        <f>Table1[[#This Row],[Male]]*0.47</f>
        <v>36209.641538645745</v>
      </c>
      <c r="K27" s="8">
        <f>Table1[[#This Row],[Population projection 2020]]*0.04</f>
        <v>6289.1257557352583</v>
      </c>
      <c r="L27" s="55">
        <f>SUM(Table1[[#This Row],[IDPs / Migrants Male]:[IDPs / Migrants Female]])</f>
        <v>0</v>
      </c>
      <c r="M27" s="8"/>
      <c r="N27" s="8"/>
      <c r="O27" s="8"/>
      <c r="P27" s="8"/>
      <c r="Q27" s="8"/>
      <c r="R27" s="8"/>
      <c r="S27" s="8">
        <f>Table1[[#This Row],[Population projection 2020]]*0.07</f>
        <v>11005.970072536704</v>
      </c>
    </row>
    <row r="28" spans="1:19" x14ac:dyDescent="0.2">
      <c r="A28" s="3" t="s">
        <v>25</v>
      </c>
      <c r="B28" s="3" t="s">
        <v>26</v>
      </c>
      <c r="C28" s="8">
        <v>148637.05770676341</v>
      </c>
      <c r="D28" s="8">
        <f>Table1[[#This Row],[Population projection 2020]]*0.48</f>
        <v>71345.78769924643</v>
      </c>
      <c r="E28" s="8">
        <f>Table1[[#This Row],[Population projection 2020]]*0.52</f>
        <v>77291.270007516985</v>
      </c>
      <c r="F28" s="8">
        <f>Table1[[#This Row],[Population projection 2020]]*0.08</f>
        <v>11890.964616541074</v>
      </c>
      <c r="G28" s="8">
        <f>Table1[[#This Row],[Population projection 2020]]*0.15</f>
        <v>22295.558656014513</v>
      </c>
      <c r="H28" s="8">
        <f>Table1[[#This Row],[Population projection 2020]]*0.52</f>
        <v>77291.270007516985</v>
      </c>
      <c r="I28" s="8">
        <f>Table1[[#This Row],[Female]]*0.46</f>
        <v>35553.984203457818</v>
      </c>
      <c r="J28" s="8">
        <f>Table1[[#This Row],[Male]]*0.46</f>
        <v>32819.062341653356</v>
      </c>
      <c r="K28" s="8">
        <f>Table1[[#This Row],[Population projection 2020]]*0.05</f>
        <v>7431.8528853381713</v>
      </c>
      <c r="L28" s="55">
        <f>SUM(Table1[[#This Row],[IDPs / Migrants Male]:[IDPs / Migrants Female]])</f>
        <v>0</v>
      </c>
      <c r="M28" s="8"/>
      <c r="N28" s="8"/>
      <c r="O28" s="8">
        <v>869</v>
      </c>
      <c r="P28" s="8">
        <v>436</v>
      </c>
      <c r="Q28" s="8">
        <v>433</v>
      </c>
      <c r="R28" s="8"/>
      <c r="S28" s="8">
        <f>Table1[[#This Row],[Population projection 2020]]*0.07</f>
        <v>10404.594039473441</v>
      </c>
    </row>
    <row r="29" spans="1:19" x14ac:dyDescent="0.2">
      <c r="A29" s="3" t="s">
        <v>25</v>
      </c>
      <c r="B29" s="3" t="s">
        <v>27</v>
      </c>
      <c r="C29" s="8">
        <v>278332.78431174275</v>
      </c>
      <c r="D29" s="8">
        <f>Table1[[#This Row],[Population projection 2020]]*0.48</f>
        <v>133599.73646963653</v>
      </c>
      <c r="E29" s="8">
        <f>Table1[[#This Row],[Population projection 2020]]*0.52</f>
        <v>144733.04784210623</v>
      </c>
      <c r="F29" s="8">
        <f>Table1[[#This Row],[Population projection 2020]]*0.08</f>
        <v>22266.622744939421</v>
      </c>
      <c r="G29" s="8">
        <f>Table1[[#This Row],[Population projection 2020]]*0.15</f>
        <v>41749.917646761409</v>
      </c>
      <c r="H29" s="8">
        <f>Table1[[#This Row],[Population projection 2020]]*0.52</f>
        <v>144733.04784210623</v>
      </c>
      <c r="I29" s="8">
        <f>Table1[[#This Row],[Female]]*0.46</f>
        <v>66577.202007368862</v>
      </c>
      <c r="J29" s="8">
        <f>Table1[[#This Row],[Male]]*0.46</f>
        <v>61455.878776032805</v>
      </c>
      <c r="K29" s="8">
        <f>Table1[[#This Row],[Population projection 2020]]*0.05</f>
        <v>13916.639215587138</v>
      </c>
      <c r="L29" s="55">
        <f>SUM(Table1[[#This Row],[IDPs / Migrants Male]:[IDPs / Migrants Female]])</f>
        <v>0</v>
      </c>
      <c r="M29" s="8"/>
      <c r="N29" s="8"/>
      <c r="O29" s="8"/>
      <c r="P29" s="8"/>
      <c r="Q29" s="8"/>
      <c r="R29" s="8"/>
      <c r="S29" s="8">
        <f>Table1[[#This Row],[Population projection 2020]]*0.07</f>
        <v>19483.294901821995</v>
      </c>
    </row>
    <row r="30" spans="1:19" x14ac:dyDescent="0.2">
      <c r="A30" s="3" t="s">
        <v>25</v>
      </c>
      <c r="B30" s="3" t="s">
        <v>28</v>
      </c>
      <c r="C30" s="8">
        <v>87794.943872471573</v>
      </c>
      <c r="D30" s="8">
        <f>Table1[[#This Row],[Population projection 2020]]*0.48</f>
        <v>42141.573058786351</v>
      </c>
      <c r="E30" s="8">
        <f>Table1[[#This Row],[Population projection 2020]]*0.52</f>
        <v>45653.370813685222</v>
      </c>
      <c r="F30" s="8">
        <f>Table1[[#This Row],[Population projection 2020]]*0.08</f>
        <v>7023.5955097977258</v>
      </c>
      <c r="G30" s="8">
        <f>Table1[[#This Row],[Population projection 2020]]*0.15</f>
        <v>13169.241580870736</v>
      </c>
      <c r="H30" s="8">
        <f>Table1[[#This Row],[Population projection 2020]]*0.52</f>
        <v>45653.370813685222</v>
      </c>
      <c r="I30" s="8">
        <f>Table1[[#This Row],[Female]]*0.46</f>
        <v>21000.550574295205</v>
      </c>
      <c r="J30" s="8">
        <f>Table1[[#This Row],[Male]]*0.46</f>
        <v>19385.123607041722</v>
      </c>
      <c r="K30" s="8">
        <f>Table1[[#This Row],[Population projection 2020]]*0.05</f>
        <v>4389.7471936235788</v>
      </c>
      <c r="L30" s="55">
        <f>SUM(Table1[[#This Row],[IDPs / Migrants Male]:[IDPs / Migrants Female]])</f>
        <v>0</v>
      </c>
      <c r="M30" s="8"/>
      <c r="N30" s="8"/>
      <c r="O30" s="8"/>
      <c r="P30" s="8"/>
      <c r="Q30" s="8"/>
      <c r="R30" s="8"/>
      <c r="S30" s="8">
        <f>Table1[[#This Row],[Population projection 2020]]*0.07</f>
        <v>6145.6460710730107</v>
      </c>
    </row>
    <row r="31" spans="1:19" x14ac:dyDescent="0.2">
      <c r="A31" s="3" t="s">
        <v>25</v>
      </c>
      <c r="B31" s="3" t="s">
        <v>102</v>
      </c>
      <c r="C31" s="8">
        <v>144722.854088055</v>
      </c>
      <c r="D31" s="8">
        <f>Table1[[#This Row],[Population projection 2020]]*0.48</f>
        <v>69466.96996226639</v>
      </c>
      <c r="E31" s="8">
        <f>Table1[[#This Row],[Population projection 2020]]*0.52</f>
        <v>75255.884125788609</v>
      </c>
      <c r="F31" s="8">
        <f>Table1[[#This Row],[Population projection 2020]]*0.08</f>
        <v>11577.828327044401</v>
      </c>
      <c r="G31" s="8">
        <f>Table1[[#This Row],[Population projection 2020]]*0.15</f>
        <v>21708.428113208251</v>
      </c>
      <c r="H31" s="8">
        <f>Table1[[#This Row],[Population projection 2020]]*0.52</f>
        <v>75255.884125788609</v>
      </c>
      <c r="I31" s="8">
        <f>Table1[[#This Row],[Female]]*0.46</f>
        <v>34617.706697862763</v>
      </c>
      <c r="J31" s="8">
        <f>Table1[[#This Row],[Male]]*0.46</f>
        <v>31954.80618264254</v>
      </c>
      <c r="K31" s="8">
        <f>Table1[[#This Row],[Population projection 2020]]*0.05</f>
        <v>7236.1427044027505</v>
      </c>
      <c r="L31" s="55">
        <f>SUM(Table1[[#This Row],[IDPs / Migrants Male]:[IDPs / Migrants Female]])</f>
        <v>0</v>
      </c>
      <c r="M31" s="8"/>
      <c r="N31" s="8"/>
      <c r="O31" s="8"/>
      <c r="P31" s="8"/>
      <c r="Q31" s="8"/>
      <c r="R31" s="8"/>
      <c r="S31" s="8">
        <f>Table1[[#This Row],[Population projection 2020]]*0.07</f>
        <v>10130.599786163852</v>
      </c>
    </row>
    <row r="32" spans="1:19" x14ac:dyDescent="0.2">
      <c r="A32" s="3" t="s">
        <v>25</v>
      </c>
      <c r="B32" s="3" t="s">
        <v>33</v>
      </c>
      <c r="C32" s="8">
        <v>76698.102387068706</v>
      </c>
      <c r="D32" s="8">
        <f>Table1[[#This Row],[Population projection 2020]]*0.48</f>
        <v>36815.089145792976</v>
      </c>
      <c r="E32" s="8">
        <f>Table1[[#This Row],[Population projection 2020]]*0.52</f>
        <v>39883.01324127573</v>
      </c>
      <c r="F32" s="8">
        <f>Table1[[#This Row],[Population projection 2020]]*0.08</f>
        <v>6135.8481909654965</v>
      </c>
      <c r="G32" s="8">
        <f>Table1[[#This Row],[Population projection 2020]]*0.15</f>
        <v>11504.715358060306</v>
      </c>
      <c r="H32" s="8">
        <f>Table1[[#This Row],[Population projection 2020]]*0.52</f>
        <v>39883.01324127573</v>
      </c>
      <c r="I32" s="8">
        <f>Table1[[#This Row],[Female]]*0.46</f>
        <v>18346.186090986837</v>
      </c>
      <c r="J32" s="8">
        <f>Table1[[#This Row],[Male]]*0.46</f>
        <v>16934.941007064768</v>
      </c>
      <c r="K32" s="8">
        <f>Table1[[#This Row],[Population projection 2020]]*0.05</f>
        <v>3834.9051193534356</v>
      </c>
      <c r="L32" s="55">
        <f>SUM(Table1[[#This Row],[IDPs / Migrants Male]:[IDPs / Migrants Female]])</f>
        <v>0</v>
      </c>
      <c r="M32" s="8"/>
      <c r="N32" s="8"/>
      <c r="O32" s="8"/>
      <c r="P32" s="8"/>
      <c r="Q32" s="8"/>
      <c r="R32" s="8"/>
      <c r="S32" s="8">
        <f>Table1[[#This Row],[Population projection 2020]]*0.07</f>
        <v>5368.8671670948097</v>
      </c>
    </row>
    <row r="33" spans="1:19" x14ac:dyDescent="0.2">
      <c r="A33" s="3" t="s">
        <v>25</v>
      </c>
      <c r="B33" s="3" t="s">
        <v>29</v>
      </c>
      <c r="C33" s="8">
        <v>164846.85859675604</v>
      </c>
      <c r="D33" s="8">
        <f>Table1[[#This Row],[Population projection 2020]]*0.48</f>
        <v>79126.492126442899</v>
      </c>
      <c r="E33" s="8">
        <f>Table1[[#This Row],[Population projection 2020]]*0.52</f>
        <v>85720.366470313136</v>
      </c>
      <c r="F33" s="8">
        <f>Table1[[#This Row],[Population projection 2020]]*0.08</f>
        <v>13187.748687740483</v>
      </c>
      <c r="G33" s="8">
        <f>Table1[[#This Row],[Population projection 2020]]*0.15</f>
        <v>24727.028789513406</v>
      </c>
      <c r="H33" s="8">
        <f>Table1[[#This Row],[Population projection 2020]]*0.52</f>
        <v>85720.366470313136</v>
      </c>
      <c r="I33" s="8">
        <f>Table1[[#This Row],[Female]]*0.46</f>
        <v>39431.368576344044</v>
      </c>
      <c r="J33" s="8">
        <f>Table1[[#This Row],[Male]]*0.46</f>
        <v>36398.186378163737</v>
      </c>
      <c r="K33" s="8">
        <f>Table1[[#This Row],[Population projection 2020]]*0.05</f>
        <v>8242.3429298378014</v>
      </c>
      <c r="L33" s="55">
        <f>SUM(Table1[[#This Row],[IDPs / Migrants Male]:[IDPs / Migrants Female]])</f>
        <v>0</v>
      </c>
      <c r="M33" s="8"/>
      <c r="N33" s="8"/>
      <c r="O33" s="8"/>
      <c r="P33" s="8"/>
      <c r="Q33" s="8"/>
      <c r="R33" s="8"/>
      <c r="S33" s="8">
        <f>Table1[[#This Row],[Population projection 2020]]*0.07</f>
        <v>11539.280101772923</v>
      </c>
    </row>
    <row r="34" spans="1:19" x14ac:dyDescent="0.2">
      <c r="A34" s="3" t="s">
        <v>25</v>
      </c>
      <c r="B34" s="3" t="s">
        <v>30</v>
      </c>
      <c r="C34" s="8">
        <v>246935.032149031</v>
      </c>
      <c r="D34" s="8">
        <f>Table1[[#This Row],[Population projection 2020]]*0.48</f>
        <v>118528.81543153488</v>
      </c>
      <c r="E34" s="8">
        <f>Table1[[#This Row],[Population projection 2020]]*0.52</f>
        <v>128406.21671749612</v>
      </c>
      <c r="F34" s="8">
        <f>Table1[[#This Row],[Population projection 2020]]*0.08</f>
        <v>19754.802571922479</v>
      </c>
      <c r="G34" s="8">
        <f>Table1[[#This Row],[Population projection 2020]]*0.15</f>
        <v>37040.254822354647</v>
      </c>
      <c r="H34" s="8">
        <f>Table1[[#This Row],[Population projection 2020]]*0.52</f>
        <v>128406.21671749612</v>
      </c>
      <c r="I34" s="8">
        <f>Table1[[#This Row],[Female]]*0.46</f>
        <v>59066.859690048215</v>
      </c>
      <c r="J34" s="8">
        <f>Table1[[#This Row],[Male]]*0.46</f>
        <v>54523.255098506044</v>
      </c>
      <c r="K34" s="8">
        <f>Table1[[#This Row],[Population projection 2020]]*0.05</f>
        <v>12346.751607451552</v>
      </c>
      <c r="L34" s="55">
        <f>SUM(Table1[[#This Row],[IDPs / Migrants Male]:[IDPs / Migrants Female]])</f>
        <v>0</v>
      </c>
      <c r="M34" s="8"/>
      <c r="N34" s="8"/>
      <c r="O34" s="8"/>
      <c r="P34" s="8"/>
      <c r="Q34" s="8"/>
      <c r="R34" s="8"/>
      <c r="S34" s="8">
        <f>Table1[[#This Row],[Population projection 2020]]*0.07</f>
        <v>17285.452250432172</v>
      </c>
    </row>
    <row r="35" spans="1:19" x14ac:dyDescent="0.2">
      <c r="A35" s="3" t="s">
        <v>25</v>
      </c>
      <c r="B35" s="3" t="s">
        <v>31</v>
      </c>
      <c r="C35" s="8">
        <v>180774.59930183538</v>
      </c>
      <c r="D35" s="8">
        <f>Table1[[#This Row],[Population projection 2020]]*0.48</f>
        <v>86771.80766488098</v>
      </c>
      <c r="E35" s="8">
        <f>Table1[[#This Row],[Population projection 2020]]*0.52</f>
        <v>94002.791636954396</v>
      </c>
      <c r="F35" s="8">
        <f>Table1[[#This Row],[Population projection 2020]]*0.08</f>
        <v>14461.967944146831</v>
      </c>
      <c r="G35" s="8">
        <f>Table1[[#This Row],[Population projection 2020]]*0.15</f>
        <v>27116.189895275307</v>
      </c>
      <c r="H35" s="8">
        <f>Table1[[#This Row],[Population projection 2020]]*0.52</f>
        <v>94002.791636954396</v>
      </c>
      <c r="I35" s="8">
        <f>Table1[[#This Row],[Female]]*0.46</f>
        <v>43241.284152999026</v>
      </c>
      <c r="J35" s="8">
        <f>Table1[[#This Row],[Male]]*0.46</f>
        <v>39915.031525845254</v>
      </c>
      <c r="K35" s="8">
        <f>Table1[[#This Row],[Population projection 2020]]*0.05</f>
        <v>9038.7299650917685</v>
      </c>
      <c r="L35" s="55">
        <f>SUM(Table1[[#This Row],[IDPs / Migrants Male]:[IDPs / Migrants Female]])</f>
        <v>0</v>
      </c>
      <c r="M35" s="8"/>
      <c r="N35" s="8"/>
      <c r="O35" s="8"/>
      <c r="P35" s="8"/>
      <c r="Q35" s="8"/>
      <c r="R35" s="8"/>
      <c r="S35" s="8">
        <f>Table1[[#This Row],[Population projection 2020]]*0.07</f>
        <v>12654.221951128478</v>
      </c>
    </row>
    <row r="36" spans="1:19" x14ac:dyDescent="0.2">
      <c r="A36" s="3" t="s">
        <v>25</v>
      </c>
      <c r="B36" s="3" t="s">
        <v>34</v>
      </c>
      <c r="C36" s="8">
        <v>70116.69807242621</v>
      </c>
      <c r="D36" s="8">
        <f>Table1[[#This Row],[Population projection 2020]]*0.48</f>
        <v>33656.015074764582</v>
      </c>
      <c r="E36" s="8">
        <f>Table1[[#This Row],[Population projection 2020]]*0.52</f>
        <v>36460.682997661628</v>
      </c>
      <c r="F36" s="8">
        <f>Table1[[#This Row],[Population projection 2020]]*0.08</f>
        <v>5609.3358457940967</v>
      </c>
      <c r="G36" s="8">
        <f>Table1[[#This Row],[Population projection 2020]]*0.15</f>
        <v>10517.504710863932</v>
      </c>
      <c r="H36" s="8">
        <f>Table1[[#This Row],[Population projection 2020]]*0.52</f>
        <v>36460.682997661628</v>
      </c>
      <c r="I36" s="8">
        <f>Table1[[#This Row],[Female]]*0.46</f>
        <v>16771.914178924351</v>
      </c>
      <c r="J36" s="8">
        <f>Table1[[#This Row],[Male]]*0.46</f>
        <v>15481.766934391708</v>
      </c>
      <c r="K36" s="8">
        <f>Table1[[#This Row],[Population projection 2020]]*0.05</f>
        <v>3505.8349036213108</v>
      </c>
      <c r="L36" s="55">
        <f>SUM(Table1[[#This Row],[IDPs / Migrants Male]:[IDPs / Migrants Female]])</f>
        <v>0</v>
      </c>
      <c r="M36" s="8"/>
      <c r="N36" s="8"/>
      <c r="O36" s="8"/>
      <c r="P36" s="8"/>
      <c r="Q36" s="8"/>
      <c r="R36" s="8"/>
      <c r="S36" s="8">
        <f>Table1[[#This Row],[Population projection 2020]]*0.07</f>
        <v>4908.1688650698352</v>
      </c>
    </row>
    <row r="37" spans="1:19" x14ac:dyDescent="0.2">
      <c r="A37" s="3" t="s">
        <v>25</v>
      </c>
      <c r="B37" s="3" t="s">
        <v>32</v>
      </c>
      <c r="C37" s="8">
        <v>124645.85961017283</v>
      </c>
      <c r="D37" s="8">
        <f>Table1[[#This Row],[Population projection 2020]]*0.48</f>
        <v>59830.012612882958</v>
      </c>
      <c r="E37" s="8">
        <f>Table1[[#This Row],[Population projection 2020]]*0.52</f>
        <v>64815.846997289875</v>
      </c>
      <c r="F37" s="8">
        <f>Table1[[#This Row],[Population projection 2020]]*0.08</f>
        <v>9971.6687688138263</v>
      </c>
      <c r="G37" s="8">
        <f>Table1[[#This Row],[Population projection 2020]]*0.15</f>
        <v>18696.878941525923</v>
      </c>
      <c r="H37" s="8">
        <f>Table1[[#This Row],[Population projection 2020]]*0.52</f>
        <v>64815.846997289875</v>
      </c>
      <c r="I37" s="8">
        <f>Table1[[#This Row],[Female]]*0.46</f>
        <v>29815.289618753344</v>
      </c>
      <c r="J37" s="8">
        <f>Table1[[#This Row],[Male]]*0.46</f>
        <v>27521.805801926163</v>
      </c>
      <c r="K37" s="8">
        <f>Table1[[#This Row],[Population projection 2020]]*0.05</f>
        <v>6232.2929805086424</v>
      </c>
      <c r="L37" s="55">
        <f>SUM(Table1[[#This Row],[IDPs / Migrants Male]:[IDPs / Migrants Female]])</f>
        <v>0</v>
      </c>
      <c r="M37" s="8"/>
      <c r="N37" s="8"/>
      <c r="O37" s="8"/>
      <c r="P37" s="8"/>
      <c r="Q37" s="8"/>
      <c r="R37" s="8"/>
      <c r="S37" s="8">
        <f>Table1[[#This Row],[Population projection 2020]]*0.07</f>
        <v>8725.2101727120989</v>
      </c>
    </row>
    <row r="38" spans="1:19" x14ac:dyDescent="0.2">
      <c r="A38" s="3" t="s">
        <v>25</v>
      </c>
      <c r="B38" s="3" t="s">
        <v>101</v>
      </c>
      <c r="C38" s="8">
        <v>139311.75211958765</v>
      </c>
      <c r="D38" s="8">
        <f>Table1[[#This Row],[Population projection 2020]]*0.48</f>
        <v>66869.641017402071</v>
      </c>
      <c r="E38" s="8">
        <f>Table1[[#This Row],[Population projection 2020]]*0.52</f>
        <v>72442.111102185576</v>
      </c>
      <c r="F38" s="8">
        <f>Table1[[#This Row],[Population projection 2020]]*0.08</f>
        <v>11144.940169567011</v>
      </c>
      <c r="G38" s="8">
        <f>Table1[[#This Row],[Population projection 2020]]*0.15</f>
        <v>20896.762817938146</v>
      </c>
      <c r="H38" s="8">
        <f>Table1[[#This Row],[Population projection 2020]]*0.52</f>
        <v>72442.111102185576</v>
      </c>
      <c r="I38" s="8">
        <f>Table1[[#This Row],[Population projection 2020]]*0.46</f>
        <v>64083.405975010319</v>
      </c>
      <c r="J38" s="8">
        <f>Table1[[#This Row],[Male]]*0.46</f>
        <v>30760.034868004954</v>
      </c>
      <c r="K38" s="8">
        <f>Table1[[#This Row],[Population projection 2020]]*0.05</f>
        <v>6965.5876059793827</v>
      </c>
      <c r="L38" s="55">
        <f>SUM(Table1[[#This Row],[IDPs / Migrants Male]:[IDPs / Migrants Female]])</f>
        <v>0</v>
      </c>
      <c r="M38" s="8"/>
      <c r="N38" s="8"/>
      <c r="O38" s="8"/>
      <c r="P38" s="8"/>
      <c r="Q38" s="8"/>
      <c r="R38" s="8"/>
      <c r="S38" s="8">
        <f>Table1[[#This Row],[Population projection 2020]]*0.07</f>
        <v>9751.8226483711369</v>
      </c>
    </row>
    <row r="39" spans="1:19" x14ac:dyDescent="0.2">
      <c r="A39" s="3" t="s">
        <v>35</v>
      </c>
      <c r="B39" s="3" t="s">
        <v>99</v>
      </c>
      <c r="C39" s="8">
        <v>192292.42961104275</v>
      </c>
      <c r="D39" s="8">
        <f>Table1[[#This Row],[Population projection 2020]]*0.5</f>
        <v>96146.214805521377</v>
      </c>
      <c r="E39" s="8">
        <f>Table1[[#This Row],[Population projection 2020]]*0.5</f>
        <v>96146.214805521377</v>
      </c>
      <c r="F39" s="8">
        <f>Table1[[#This Row],[Population projection 2020]]*0.08</f>
        <v>15383.394368883421</v>
      </c>
      <c r="G39" s="8">
        <f>Table1[[#This Row],[Population projection 2020]]*0.15</f>
        <v>28843.864441656413</v>
      </c>
      <c r="H39" s="8">
        <f>Table1[[#This Row],[Population projection 2020]]*0.52</f>
        <v>99992.06339774224</v>
      </c>
      <c r="I39" s="8">
        <f>Table1[[#This Row],[Female]]*0.49</f>
        <v>47111.645254705472</v>
      </c>
      <c r="J39" s="8">
        <f>Table1[[#This Row],[Male]]*0.5</f>
        <v>48073.107402760688</v>
      </c>
      <c r="K39" s="8">
        <f>Table1[[#This Row],[Population projection 2020]]*0.04</f>
        <v>7691.6971844417103</v>
      </c>
      <c r="L39" s="55">
        <f>SUM(Table1[[#This Row],[IDPs / Migrants Male]:[IDPs / Migrants Female]])</f>
        <v>0</v>
      </c>
      <c r="M39" s="8"/>
      <c r="N39" s="8"/>
      <c r="O39" s="8"/>
      <c r="P39" s="8"/>
      <c r="Q39" s="8"/>
      <c r="R39" s="8"/>
      <c r="S39" s="8">
        <f>Table1[[#This Row],[Population projection 2020]]*0.07</f>
        <v>13460.470072772994</v>
      </c>
    </row>
    <row r="40" spans="1:19" x14ac:dyDescent="0.2">
      <c r="A40" s="3" t="s">
        <v>35</v>
      </c>
      <c r="B40" s="3" t="s">
        <v>41</v>
      </c>
      <c r="C40" s="8">
        <v>63311.145189044626</v>
      </c>
      <c r="D40" s="8">
        <f>Table1[[#This Row],[Population projection 2020]]*0.5</f>
        <v>31655.572594522313</v>
      </c>
      <c r="E40" s="8">
        <f>Table1[[#This Row],[Population projection 2020]]*0.5</f>
        <v>31655.572594522313</v>
      </c>
      <c r="F40" s="8">
        <f>Table1[[#This Row],[Population projection 2020]]*0.08</f>
        <v>5064.8916151235699</v>
      </c>
      <c r="G40" s="8">
        <f>Table1[[#This Row],[Population projection 2020]]*0.15</f>
        <v>9496.6717783566928</v>
      </c>
      <c r="H40" s="8">
        <f>Table1[[#This Row],[Population projection 2020]]*0.52</f>
        <v>32921.795498303203</v>
      </c>
      <c r="I40" s="8">
        <f>Table1[[#This Row],[Female]]*0.49</f>
        <v>15511.230571315933</v>
      </c>
      <c r="J40" s="8">
        <f>Table1[[#This Row],[Male]]*0.5</f>
        <v>15827.786297261157</v>
      </c>
      <c r="K40" s="8">
        <f>Table1[[#This Row],[Population projection 2020]]*0.04</f>
        <v>2532.4458075617849</v>
      </c>
      <c r="L40" s="55">
        <f>SUM(Table1[[#This Row],[IDPs / Migrants Male]:[IDPs / Migrants Female]])</f>
        <v>0</v>
      </c>
      <c r="M40" s="8"/>
      <c r="N40" s="8"/>
      <c r="O40" s="8"/>
      <c r="P40" s="8"/>
      <c r="Q40" s="8"/>
      <c r="R40" s="8"/>
      <c r="S40" s="8">
        <f>Table1[[#This Row],[Population projection 2020]]*0.07</f>
        <v>4431.7801632331239</v>
      </c>
    </row>
    <row r="41" spans="1:19" x14ac:dyDescent="0.2">
      <c r="A41" s="3" t="s">
        <v>35</v>
      </c>
      <c r="B41" s="3" t="s">
        <v>40</v>
      </c>
      <c r="C41" s="8">
        <v>97524.693287943446</v>
      </c>
      <c r="D41" s="8">
        <f>Table1[[#This Row],[Population projection 2020]]*0.5</f>
        <v>48762.346643971723</v>
      </c>
      <c r="E41" s="8">
        <f>Table1[[#This Row],[Population projection 2020]]*0.5</f>
        <v>48762.346643971723</v>
      </c>
      <c r="F41" s="8">
        <f>Table1[[#This Row],[Population projection 2020]]*0.08</f>
        <v>7801.9754630354755</v>
      </c>
      <c r="G41" s="8">
        <f>Table1[[#This Row],[Population projection 2020]]*0.15</f>
        <v>14628.703993191517</v>
      </c>
      <c r="H41" s="8">
        <f>Table1[[#This Row],[Population projection 2020]]*0.52</f>
        <v>50712.840509730595</v>
      </c>
      <c r="I41" s="8">
        <f>Table1[[#This Row],[Female]]*0.49</f>
        <v>23893.549855546145</v>
      </c>
      <c r="J41" s="8">
        <f>Table1[[#This Row],[Male]]*0.5</f>
        <v>24381.173321985862</v>
      </c>
      <c r="K41" s="8">
        <f>Table1[[#This Row],[Population projection 2020]]*0.04</f>
        <v>3900.9877315177378</v>
      </c>
      <c r="L41" s="55">
        <f>SUM(Table1[[#This Row],[IDPs / Migrants Male]:[IDPs / Migrants Female]])</f>
        <v>0</v>
      </c>
      <c r="M41" s="8"/>
      <c r="N41" s="8"/>
      <c r="O41" s="8"/>
      <c r="P41" s="8"/>
      <c r="Q41" s="8"/>
      <c r="R41" s="8"/>
      <c r="S41" s="8">
        <f>Table1[[#This Row],[Population projection 2020]]*0.07</f>
        <v>6826.7285301560423</v>
      </c>
    </row>
    <row r="42" spans="1:19" x14ac:dyDescent="0.2">
      <c r="A42" s="3" t="s">
        <v>35</v>
      </c>
      <c r="B42" s="3" t="s">
        <v>36</v>
      </c>
      <c r="C42" s="8">
        <v>411975.47070167866</v>
      </c>
      <c r="D42" s="8">
        <f>Table1[[#This Row],[Population projection 2020]]*0.5</f>
        <v>205987.73535083933</v>
      </c>
      <c r="E42" s="8">
        <f>Table1[[#This Row],[Population projection 2020]]*0.5</f>
        <v>205987.73535083933</v>
      </c>
      <c r="F42" s="8">
        <f>Table1[[#This Row],[Population projection 2020]]*0.08</f>
        <v>32958.037656134293</v>
      </c>
      <c r="G42" s="8">
        <f>Table1[[#This Row],[Population projection 2020]]*0.15</f>
        <v>61796.320605251793</v>
      </c>
      <c r="H42" s="8">
        <f>Table1[[#This Row],[Population projection 2020]]*0.52</f>
        <v>214227.24476487291</v>
      </c>
      <c r="I42" s="8">
        <f>Table1[[#This Row],[Female]]*0.49</f>
        <v>100933.99032191127</v>
      </c>
      <c r="J42" s="8">
        <f>Table1[[#This Row],[Male]]*0.5</f>
        <v>102993.86767541966</v>
      </c>
      <c r="K42" s="8">
        <f>Table1[[#This Row],[Population projection 2020]]*0.04</f>
        <v>16479.018828067146</v>
      </c>
      <c r="L42" s="55">
        <f>SUM(Table1[[#This Row],[IDPs / Migrants Male]:[IDPs / Migrants Female]])</f>
        <v>0</v>
      </c>
      <c r="M42" s="8"/>
      <c r="N42" s="8"/>
      <c r="O42" s="8"/>
      <c r="P42" s="8"/>
      <c r="Q42" s="8"/>
      <c r="R42" s="8"/>
      <c r="S42" s="8">
        <f>Table1[[#This Row],[Population projection 2020]]*0.07</f>
        <v>28838.282949117507</v>
      </c>
    </row>
    <row r="43" spans="1:19" x14ac:dyDescent="0.2">
      <c r="A43" s="3" t="s">
        <v>35</v>
      </c>
      <c r="B43" s="3" t="s">
        <v>37</v>
      </c>
      <c r="C43" s="8">
        <v>115720.85954706004</v>
      </c>
      <c r="D43" s="8">
        <f>Table1[[#This Row],[Population projection 2020]]*0.5</f>
        <v>57860.429773530021</v>
      </c>
      <c r="E43" s="8">
        <f>Table1[[#This Row],[Population projection 2020]]*0.5</f>
        <v>57860.429773530021</v>
      </c>
      <c r="F43" s="8">
        <f>Table1[[#This Row],[Population projection 2020]]*0.08</f>
        <v>9257.6687637648029</v>
      </c>
      <c r="G43" s="8">
        <f>Table1[[#This Row],[Population projection 2020]]*0.15</f>
        <v>17358.128932059004</v>
      </c>
      <c r="H43" s="8">
        <f>Table1[[#This Row],[Population projection 2020]]*0.52</f>
        <v>60174.846964471224</v>
      </c>
      <c r="I43" s="8">
        <f>Table1[[#This Row],[Female]]*0.49</f>
        <v>28351.610589029711</v>
      </c>
      <c r="J43" s="8">
        <f>Table1[[#This Row],[Male]]*0.5</f>
        <v>28930.21488676501</v>
      </c>
      <c r="K43" s="8">
        <f>Table1[[#This Row],[Population projection 2020]]*0.04</f>
        <v>4628.8343818824014</v>
      </c>
      <c r="L43" s="55">
        <f>SUM(Table1[[#This Row],[IDPs / Migrants Male]:[IDPs / Migrants Female]])</f>
        <v>0</v>
      </c>
      <c r="M43" s="8"/>
      <c r="N43" s="8"/>
      <c r="O43" s="8"/>
      <c r="P43" s="8"/>
      <c r="Q43" s="8"/>
      <c r="R43" s="8"/>
      <c r="S43" s="8">
        <f>Table1[[#This Row],[Population projection 2020]]*0.07</f>
        <v>8100.4601682942039</v>
      </c>
    </row>
    <row r="44" spans="1:19" x14ac:dyDescent="0.2">
      <c r="A44" s="3" t="s">
        <v>35</v>
      </c>
      <c r="B44" s="3" t="s">
        <v>100</v>
      </c>
      <c r="C44" s="8">
        <v>51771.471937647504</v>
      </c>
      <c r="D44" s="8">
        <f>Table1[[#This Row],[Population projection 2020]]*0.5</f>
        <v>25885.735968823752</v>
      </c>
      <c r="E44" s="8">
        <f>Table1[[#This Row],[Population projection 2020]]*0.5</f>
        <v>25885.735968823752</v>
      </c>
      <c r="F44" s="8">
        <f>Table1[[#This Row],[Population projection 2020]]*0.08</f>
        <v>4141.7177550118004</v>
      </c>
      <c r="G44" s="8">
        <f>Table1[[#This Row],[Population projection 2020]]*0.15</f>
        <v>7765.7207906471249</v>
      </c>
      <c r="H44" s="8">
        <f>Table1[[#This Row],[Population projection 2020]]*0.52</f>
        <v>26921.165407576704</v>
      </c>
      <c r="I44" s="8">
        <f>Table1[[#This Row],[Female]]*0.49</f>
        <v>12684.010624723638</v>
      </c>
      <c r="J44" s="8">
        <f>Table1[[#This Row],[Male]]*0.5</f>
        <v>12942.867984411876</v>
      </c>
      <c r="K44" s="8">
        <f>Table1[[#This Row],[Population projection 2020]]*0.04</f>
        <v>2070.8588775059002</v>
      </c>
      <c r="L44" s="55">
        <f>SUM(Table1[[#This Row],[IDPs / Migrants Male]:[IDPs / Migrants Female]])</f>
        <v>0</v>
      </c>
      <c r="M44" s="8"/>
      <c r="N44" s="8"/>
      <c r="O44" s="8"/>
      <c r="P44" s="8"/>
      <c r="Q44" s="8"/>
      <c r="R44" s="8"/>
      <c r="S44" s="8">
        <f>Table1[[#This Row],[Population projection 2020]]*0.07</f>
        <v>3624.0030356353254</v>
      </c>
    </row>
    <row r="45" spans="1:19" x14ac:dyDescent="0.2">
      <c r="A45" s="3" t="s">
        <v>35</v>
      </c>
      <c r="B45" s="3" t="s">
        <v>42</v>
      </c>
      <c r="C45" s="8">
        <v>33102.255414022919</v>
      </c>
      <c r="D45" s="8">
        <f>Table1[[#This Row],[Population projection 2020]]*0.5</f>
        <v>16551.127707011459</v>
      </c>
      <c r="E45" s="8">
        <f>Table1[[#This Row],[Population projection 2020]]*0.5</f>
        <v>16551.127707011459</v>
      </c>
      <c r="F45" s="8">
        <f>Table1[[#This Row],[Population projection 2020]]*0.08</f>
        <v>2648.1804331218336</v>
      </c>
      <c r="G45" s="8">
        <f>Table1[[#This Row],[Population projection 2020]]*0.15</f>
        <v>4965.3383121034376</v>
      </c>
      <c r="H45" s="8">
        <f>Table1[[#This Row],[Population projection 2020]]*0.52</f>
        <v>17213.172815291917</v>
      </c>
      <c r="I45" s="8">
        <f>Table1[[#This Row],[Female]]*0.49</f>
        <v>8110.0525764356153</v>
      </c>
      <c r="J45" s="8">
        <f>Table1[[#This Row],[Male]]*0.5</f>
        <v>8275.5638535057296</v>
      </c>
      <c r="K45" s="8">
        <f>Table1[[#This Row],[Population projection 2020]]*0.04</f>
        <v>1324.0902165609168</v>
      </c>
      <c r="L45" s="55">
        <f>SUM(Table1[[#This Row],[IDPs / Migrants Male]:[IDPs / Migrants Female]])</f>
        <v>0</v>
      </c>
      <c r="M45" s="8"/>
      <c r="N45" s="8"/>
      <c r="O45" s="8"/>
      <c r="P45" s="8"/>
      <c r="Q45" s="8"/>
      <c r="R45" s="8"/>
      <c r="S45" s="8">
        <f>Table1[[#This Row],[Population projection 2020]]*0.07</f>
        <v>2317.1578789816044</v>
      </c>
    </row>
    <row r="46" spans="1:19" x14ac:dyDescent="0.2">
      <c r="A46" s="3" t="s">
        <v>35</v>
      </c>
      <c r="B46" s="3" t="s">
        <v>44</v>
      </c>
      <c r="C46" s="8">
        <v>35799.142504008909</v>
      </c>
      <c r="D46" s="8">
        <f>Table1[[#This Row],[Population projection 2020]]*0.5</f>
        <v>17899.571252004454</v>
      </c>
      <c r="E46" s="8">
        <f>Table1[[#This Row],[Population projection 2020]]*0.5</f>
        <v>17899.571252004454</v>
      </c>
      <c r="F46" s="8">
        <f>Table1[[#This Row],[Population projection 2020]]*0.08</f>
        <v>2863.9314003207128</v>
      </c>
      <c r="G46" s="8">
        <f>Table1[[#This Row],[Population projection 2020]]*0.15</f>
        <v>5369.8713756013358</v>
      </c>
      <c r="H46" s="8">
        <f>Table1[[#This Row],[Population projection 2020]]*0.52</f>
        <v>18615.554102084632</v>
      </c>
      <c r="I46" s="8">
        <f>Table1[[#This Row],[Female]]*0.49</f>
        <v>8770.7899134821819</v>
      </c>
      <c r="J46" s="8">
        <f>Table1[[#This Row],[Male]]*0.5</f>
        <v>8949.7856260022272</v>
      </c>
      <c r="K46" s="8">
        <f>Table1[[#This Row],[Population projection 2020]]*0.04</f>
        <v>1431.9657001603564</v>
      </c>
      <c r="L46" s="55">
        <f>SUM(Table1[[#This Row],[IDPs / Migrants Male]:[IDPs / Migrants Female]])</f>
        <v>0</v>
      </c>
      <c r="M46" s="8"/>
      <c r="N46" s="8"/>
      <c r="O46" s="8"/>
      <c r="P46" s="8"/>
      <c r="Q46" s="8"/>
      <c r="R46" s="8"/>
      <c r="S46" s="8">
        <f>Table1[[#This Row],[Population projection 2020]]*0.07</f>
        <v>2505.9399752806239</v>
      </c>
    </row>
    <row r="47" spans="1:19" x14ac:dyDescent="0.2">
      <c r="A47" s="3" t="s">
        <v>35</v>
      </c>
      <c r="B47" s="3" t="s">
        <v>38</v>
      </c>
      <c r="C47" s="8">
        <v>192148.51220252842</v>
      </c>
      <c r="D47" s="8">
        <f>Table1[[#This Row],[Population projection 2020]]*0.5</f>
        <v>96074.256101264211</v>
      </c>
      <c r="E47" s="8">
        <f>Table1[[#This Row],[Population projection 2020]]*0.5</f>
        <v>96074.256101264211</v>
      </c>
      <c r="F47" s="8">
        <f>Table1[[#This Row],[Population projection 2020]]*0.08</f>
        <v>15371.880976202274</v>
      </c>
      <c r="G47" s="8">
        <f>Table1[[#This Row],[Population projection 2020]]*0.15</f>
        <v>28822.276830379262</v>
      </c>
      <c r="H47" s="8">
        <f>Table1[[#This Row],[Population projection 2020]]*0.52</f>
        <v>99917.22634531479</v>
      </c>
      <c r="I47" s="8">
        <f>Table1[[#This Row],[Female]]*0.49</f>
        <v>47076.385489619461</v>
      </c>
      <c r="J47" s="8">
        <f>Table1[[#This Row],[Male]]*0.5</f>
        <v>48037.128050632105</v>
      </c>
      <c r="K47" s="8">
        <f>Table1[[#This Row],[Population projection 2020]]*0.04</f>
        <v>7685.9404881011369</v>
      </c>
      <c r="L47" s="55">
        <f>SUM(Table1[[#This Row],[IDPs / Migrants Male]:[IDPs / Migrants Female]])</f>
        <v>0</v>
      </c>
      <c r="M47" s="8"/>
      <c r="N47" s="8"/>
      <c r="O47" s="8"/>
      <c r="P47" s="8"/>
      <c r="Q47" s="8"/>
      <c r="R47" s="8"/>
      <c r="S47" s="8">
        <f>Table1[[#This Row],[Population projection 2020]]*0.07</f>
        <v>13450.395854176992</v>
      </c>
    </row>
    <row r="48" spans="1:19" x14ac:dyDescent="0.2">
      <c r="A48" s="3" t="s">
        <v>35</v>
      </c>
      <c r="B48" s="3" t="s">
        <v>45</v>
      </c>
      <c r="C48" s="8">
        <v>130579.39338437033</v>
      </c>
      <c r="D48" s="8">
        <f>Table1[[#This Row],[Population projection 2020]]*0.5</f>
        <v>65289.696692185164</v>
      </c>
      <c r="E48" s="8">
        <f>Table1[[#This Row],[Population projection 2020]]*0.5</f>
        <v>65289.696692185164</v>
      </c>
      <c r="F48" s="8">
        <f>Table1[[#This Row],[Population projection 2020]]*0.08</f>
        <v>10446.351470749627</v>
      </c>
      <c r="G48" s="8">
        <f>Table1[[#This Row],[Population projection 2020]]*0.15</f>
        <v>19586.909007655548</v>
      </c>
      <c r="H48" s="8">
        <f>Table1[[#This Row],[Population projection 2020]]*0.52</f>
        <v>67901.284559872569</v>
      </c>
      <c r="I48" s="8">
        <f>Table1[[#This Row],[Female]]*0.49</f>
        <v>31991.951379170729</v>
      </c>
      <c r="J48" s="8">
        <f>Table1[[#This Row],[Male]]*0.5</f>
        <v>32644.848346092582</v>
      </c>
      <c r="K48" s="8">
        <f>Table1[[#This Row],[Population projection 2020]]*0.04</f>
        <v>5223.1757353748135</v>
      </c>
      <c r="L48" s="55">
        <f>SUM(Table1[[#This Row],[IDPs / Migrants Male]:[IDPs / Migrants Female]])</f>
        <v>0</v>
      </c>
      <c r="M48" s="8"/>
      <c r="N48" s="8"/>
      <c r="O48" s="8"/>
      <c r="P48" s="8"/>
      <c r="Q48" s="8"/>
      <c r="R48" s="8"/>
      <c r="S48" s="8">
        <f>Table1[[#This Row],[Population projection 2020]]*0.07</f>
        <v>9140.5575369059243</v>
      </c>
    </row>
    <row r="49" spans="1:19" x14ac:dyDescent="0.2">
      <c r="A49" s="3" t="s">
        <v>35</v>
      </c>
      <c r="B49" s="3" t="s">
        <v>43</v>
      </c>
      <c r="C49" s="8">
        <v>84587.143990367971</v>
      </c>
      <c r="D49" s="8">
        <f>Table1[[#This Row],[Population projection 2020]]*0.5</f>
        <v>42293.571995183986</v>
      </c>
      <c r="E49" s="8">
        <f>Table1[[#This Row],[Population projection 2020]]*0.5</f>
        <v>42293.571995183986</v>
      </c>
      <c r="F49" s="8">
        <f>Table1[[#This Row],[Population projection 2020]]*0.08</f>
        <v>6766.9715192294379</v>
      </c>
      <c r="G49" s="8">
        <f>Table1[[#This Row],[Population projection 2020]]*0.15</f>
        <v>12688.071598555196</v>
      </c>
      <c r="H49" s="8">
        <f>Table1[[#This Row],[Population projection 2020]]*0.52</f>
        <v>43985.314874991345</v>
      </c>
      <c r="I49" s="8">
        <f>Table1[[#This Row],[Female]]*0.49</f>
        <v>20723.850277640151</v>
      </c>
      <c r="J49" s="8">
        <f>Table1[[#This Row],[Male]]*0.5</f>
        <v>21146.785997591993</v>
      </c>
      <c r="K49" s="8">
        <f>Table1[[#This Row],[Population projection 2020]]*0.04</f>
        <v>3383.485759614719</v>
      </c>
      <c r="L49" s="55">
        <f>SUM(Table1[[#This Row],[IDPs / Migrants Male]:[IDPs / Migrants Female]])</f>
        <v>0</v>
      </c>
      <c r="M49" s="8"/>
      <c r="N49" s="8"/>
      <c r="O49" s="8"/>
      <c r="P49" s="8"/>
      <c r="Q49" s="8"/>
      <c r="R49" s="8"/>
      <c r="S49" s="8">
        <f>Table1[[#This Row],[Population projection 2020]]*0.07</f>
        <v>5921.1000793257581</v>
      </c>
    </row>
    <row r="50" spans="1:19" x14ac:dyDescent="0.2">
      <c r="A50" s="3" t="s">
        <v>35</v>
      </c>
      <c r="B50" s="3" t="s">
        <v>46</v>
      </c>
      <c r="C50" s="8">
        <v>141285.59712211051</v>
      </c>
      <c r="D50" s="8">
        <f>Table1[[#This Row],[Population projection 2020]]*0.5</f>
        <v>70642.798561055257</v>
      </c>
      <c r="E50" s="8">
        <f>Table1[[#This Row],[Population projection 2020]]*0.5</f>
        <v>70642.798561055257</v>
      </c>
      <c r="F50" s="8">
        <f>Table1[[#This Row],[Population projection 2020]]*0.08</f>
        <v>11302.847769768841</v>
      </c>
      <c r="G50" s="8">
        <f>Table1[[#This Row],[Population projection 2020]]*0.15</f>
        <v>21192.839568316576</v>
      </c>
      <c r="H50" s="8">
        <f>Table1[[#This Row],[Population projection 2020]]*0.52</f>
        <v>73468.510503497469</v>
      </c>
      <c r="I50" s="8">
        <f>Table1[[#This Row],[Female]]*0.49</f>
        <v>34614.971294917072</v>
      </c>
      <c r="J50" s="8">
        <f>Table1[[#This Row],[Male]]*0.5</f>
        <v>35321.399280527628</v>
      </c>
      <c r="K50" s="8">
        <f>Table1[[#This Row],[Population projection 2020]]*0.04</f>
        <v>5651.4238848844207</v>
      </c>
      <c r="L50" s="55">
        <f>SUM(Table1[[#This Row],[IDPs / Migrants Male]:[IDPs / Migrants Female]])</f>
        <v>0</v>
      </c>
      <c r="M50" s="8"/>
      <c r="N50" s="8"/>
      <c r="O50" s="8"/>
      <c r="P50" s="8"/>
      <c r="Q50" s="8"/>
      <c r="R50" s="8"/>
      <c r="S50" s="8">
        <f>Table1[[#This Row],[Population projection 2020]]*0.07</f>
        <v>9889.9917985477368</v>
      </c>
    </row>
    <row r="51" spans="1:19" x14ac:dyDescent="0.2">
      <c r="A51" s="3" t="s">
        <v>35</v>
      </c>
      <c r="B51" s="3" t="s">
        <v>39</v>
      </c>
      <c r="C51" s="8">
        <v>329157.88510817388</v>
      </c>
      <c r="D51" s="8">
        <f>Table1[[#This Row],[Population projection 2020]]*0.5</f>
        <v>164578.94255408694</v>
      </c>
      <c r="E51" s="8">
        <f>Table1[[#This Row],[Population projection 2020]]*0.5</f>
        <v>164578.94255408694</v>
      </c>
      <c r="F51" s="8">
        <f>Table1[[#This Row],[Population projection 2020]]*0.08</f>
        <v>26332.63080865391</v>
      </c>
      <c r="G51" s="8">
        <f>Table1[[#This Row],[Population projection 2020]]*0.15</f>
        <v>49373.682766226084</v>
      </c>
      <c r="H51" s="8">
        <f>Table1[[#This Row],[Population projection 2020]]*0.52</f>
        <v>171162.10025625041</v>
      </c>
      <c r="I51" s="8">
        <f>Table1[[#This Row],[Female]]*0.49</f>
        <v>80643.681851502595</v>
      </c>
      <c r="J51" s="8">
        <f>Table1[[#This Row],[Male]]*0.5</f>
        <v>82289.471277043471</v>
      </c>
      <c r="K51" s="8">
        <f>Table1[[#This Row],[Population projection 2020]]*0.04</f>
        <v>13166.315404326955</v>
      </c>
      <c r="L51" s="55">
        <f>SUM(Table1[[#This Row],[IDPs / Migrants Male]:[IDPs / Migrants Female]])</f>
        <v>0</v>
      </c>
      <c r="M51" s="8"/>
      <c r="N51" s="8"/>
      <c r="O51" s="8">
        <v>1916</v>
      </c>
      <c r="P51" s="8">
        <v>986</v>
      </c>
      <c r="Q51" s="8">
        <v>929</v>
      </c>
      <c r="R51" s="8"/>
      <c r="S51" s="8">
        <f>Table1[[#This Row],[Population projection 2020]]*0.07</f>
        <v>23041.051957572174</v>
      </c>
    </row>
    <row r="52" spans="1:19" x14ac:dyDescent="0.2">
      <c r="A52" s="3" t="s">
        <v>76</v>
      </c>
      <c r="B52" s="3" t="s">
        <v>77</v>
      </c>
      <c r="C52" s="8">
        <v>196913.64880781635</v>
      </c>
      <c r="D52" s="8">
        <f>Table1[[#This Row],[Population projection 2020]]*0.47</f>
        <v>92549.414939673676</v>
      </c>
      <c r="E52" s="8">
        <f>Table1[[#This Row],[Population projection 2020]]*0.53</f>
        <v>104364.23386814268</v>
      </c>
      <c r="F52" s="8">
        <f>Table1[[#This Row],[Population projection 2020]]*0.08</f>
        <v>15753.091904625309</v>
      </c>
      <c r="G52" s="8">
        <f>Table1[[#This Row],[Population projection 2020]]*0.16</f>
        <v>31506.183809250619</v>
      </c>
      <c r="H52" s="8">
        <f>Table1[[#This Row],[Population projection 2020]]*0.56</f>
        <v>110271.64333237716</v>
      </c>
      <c r="I52" s="8">
        <f>Table1[[#This Row],[Female]]*0.44</f>
        <v>45920.26290198278</v>
      </c>
      <c r="J52" s="8">
        <f>Table1[[#This Row],[Male]]*0.41</f>
        <v>37945.260125266206</v>
      </c>
      <c r="K52" s="8">
        <f>Table1[[#This Row],[Population projection 2020]]*0.05</f>
        <v>9845.6824403908176</v>
      </c>
      <c r="L52" s="55">
        <f>SUM(Table1[[#This Row],[IDPs / Migrants Male]:[IDPs / Migrants Female]])</f>
        <v>6438</v>
      </c>
      <c r="M52" s="8">
        <v>2531</v>
      </c>
      <c r="N52" s="8">
        <v>3907</v>
      </c>
      <c r="O52" s="8"/>
      <c r="P52" s="8"/>
      <c r="Q52" s="8"/>
      <c r="R52" s="8"/>
      <c r="S52" s="8">
        <f>Table1[[#This Row],[Population projection 2020]]*0.07</f>
        <v>13783.955416547145</v>
      </c>
    </row>
    <row r="53" spans="1:19" x14ac:dyDescent="0.2">
      <c r="A53" s="3" t="s">
        <v>76</v>
      </c>
      <c r="B53" s="3" t="s">
        <v>91</v>
      </c>
      <c r="C53" s="8">
        <v>334454.59903911548</v>
      </c>
      <c r="D53" s="8">
        <f>Table1[[#This Row],[Population projection 2020]]*0.47</f>
        <v>157193.66154838426</v>
      </c>
      <c r="E53" s="8">
        <f>Table1[[#This Row],[Population projection 2020]]*0.53</f>
        <v>177260.93749073122</v>
      </c>
      <c r="F53" s="8">
        <f>Table1[[#This Row],[Population projection 2020]]*0.08</f>
        <v>26756.367923129237</v>
      </c>
      <c r="G53" s="8">
        <f>Table1[[#This Row],[Population projection 2020]]*0.16</f>
        <v>53512.735846258474</v>
      </c>
      <c r="H53" s="8">
        <f>Table1[[#This Row],[Population projection 2020]]*0.56</f>
        <v>187294.57546190469</v>
      </c>
      <c r="I53" s="8">
        <f>Table1[[#This Row],[Female]]*0.44</f>
        <v>77994.812495921738</v>
      </c>
      <c r="J53" s="8">
        <f>Table1[[#This Row],[Male]]*0.41</f>
        <v>64449.40123483754</v>
      </c>
      <c r="K53" s="8">
        <f>Table1[[#This Row],[Population projection 2020]]*0.05</f>
        <v>16722.729951955775</v>
      </c>
      <c r="L53" s="55">
        <f>SUM(Table1[[#This Row],[IDPs / Migrants Male]:[IDPs / Migrants Female]])</f>
        <v>1543</v>
      </c>
      <c r="M53" s="8">
        <v>572</v>
      </c>
      <c r="N53" s="8">
        <v>971</v>
      </c>
      <c r="O53" s="8"/>
      <c r="P53" s="8"/>
      <c r="Q53" s="8"/>
      <c r="R53" s="8"/>
      <c r="S53" s="8">
        <f>Table1[[#This Row],[Population projection 2020]]*0.07</f>
        <v>23411.821932738087</v>
      </c>
    </row>
    <row r="54" spans="1:19" x14ac:dyDescent="0.2">
      <c r="A54" s="3" t="s">
        <v>76</v>
      </c>
      <c r="B54" s="3" t="s">
        <v>83</v>
      </c>
      <c r="C54" s="8">
        <v>36928.889470671813</v>
      </c>
      <c r="D54" s="8">
        <f>Table1[[#This Row],[Population projection 2020]]*0.47</f>
        <v>17356.578051215751</v>
      </c>
      <c r="E54" s="8">
        <f>Table1[[#This Row],[Population projection 2020]]*0.53</f>
        <v>19572.311419456062</v>
      </c>
      <c r="F54" s="8">
        <f>Table1[[#This Row],[Population projection 2020]]*0.08</f>
        <v>2954.3111576537449</v>
      </c>
      <c r="G54" s="8">
        <f>Table1[[#This Row],[Population projection 2020]]*0.16</f>
        <v>5908.6223153074898</v>
      </c>
      <c r="H54" s="8">
        <f>Table1[[#This Row],[Population projection 2020]]*0.56</f>
        <v>20680.178103576218</v>
      </c>
      <c r="I54" s="8">
        <f>Table1[[#This Row],[Female]]*0.44</f>
        <v>8611.8170245606671</v>
      </c>
      <c r="J54" s="8">
        <f>Table1[[#This Row],[Male]]*0.41</f>
        <v>7116.197000998457</v>
      </c>
      <c r="K54" s="8">
        <f>Table1[[#This Row],[Population projection 2020]]*0.05</f>
        <v>1846.4444735335908</v>
      </c>
      <c r="L54" s="55">
        <f>SUM(Table1[[#This Row],[IDPs / Migrants Male]:[IDPs / Migrants Female]])</f>
        <v>0</v>
      </c>
      <c r="M54" s="8"/>
      <c r="N54" s="8"/>
      <c r="O54" s="8"/>
      <c r="P54" s="8"/>
      <c r="Q54" s="8"/>
      <c r="R54" s="8"/>
      <c r="S54" s="8">
        <f>Table1[[#This Row],[Population projection 2020]]*0.07</f>
        <v>2585.0222629470272</v>
      </c>
    </row>
    <row r="55" spans="1:19" x14ac:dyDescent="0.2">
      <c r="A55" s="3" t="s">
        <v>76</v>
      </c>
      <c r="B55" s="3" t="s">
        <v>78</v>
      </c>
      <c r="C55" s="8">
        <v>201392.70782040147</v>
      </c>
      <c r="D55" s="8">
        <f>Table1[[#This Row],[Population projection 2020]]*0.47</f>
        <v>94654.572675588686</v>
      </c>
      <c r="E55" s="8">
        <f>Table1[[#This Row],[Population projection 2020]]*0.53</f>
        <v>106738.13514481278</v>
      </c>
      <c r="F55" s="8">
        <f>Table1[[#This Row],[Population projection 2020]]*0.08</f>
        <v>16111.416625632119</v>
      </c>
      <c r="G55" s="8">
        <f>Table1[[#This Row],[Population projection 2020]]*0.16</f>
        <v>32222.833251264237</v>
      </c>
      <c r="H55" s="8">
        <f>Table1[[#This Row],[Population projection 2020]]*0.56</f>
        <v>112779.91637942483</v>
      </c>
      <c r="I55" s="8">
        <f>Table1[[#This Row],[Female]]*0.44</f>
        <v>46964.779463717627</v>
      </c>
      <c r="J55" s="8">
        <f>Table1[[#This Row],[Male]]*0.41</f>
        <v>38808.37479699136</v>
      </c>
      <c r="K55" s="8">
        <f>Table1[[#This Row],[Population projection 2020]]*0.05</f>
        <v>10069.635391020074</v>
      </c>
      <c r="L55" s="55">
        <f>SUM(Table1[[#This Row],[IDPs / Migrants Male]:[IDPs / Migrants Female]])</f>
        <v>0</v>
      </c>
      <c r="M55" s="8"/>
      <c r="N55" s="8"/>
      <c r="O55" s="8"/>
      <c r="P55" s="8"/>
      <c r="Q55" s="8"/>
      <c r="R55" s="8"/>
      <c r="S55" s="8">
        <f>Table1[[#This Row],[Population projection 2020]]*0.07</f>
        <v>14097.489547428104</v>
      </c>
    </row>
    <row r="56" spans="1:19" x14ac:dyDescent="0.2">
      <c r="A56" s="3" t="s">
        <v>76</v>
      </c>
      <c r="B56" s="3" t="s">
        <v>79</v>
      </c>
      <c r="C56" s="8">
        <v>246309.4344578443</v>
      </c>
      <c r="D56" s="8">
        <f>Table1[[#This Row],[Population projection 2020]]*0.47</f>
        <v>115765.43419518681</v>
      </c>
      <c r="E56" s="8">
        <f>Table1[[#This Row],[Population projection 2020]]*0.53</f>
        <v>130544.00026265749</v>
      </c>
      <c r="F56" s="8">
        <f>Table1[[#This Row],[Population projection 2020]]*0.08</f>
        <v>19704.754756627543</v>
      </c>
      <c r="G56" s="8">
        <f>Table1[[#This Row],[Population projection 2020]]*0.16</f>
        <v>39409.509513255085</v>
      </c>
      <c r="H56" s="8">
        <f>Table1[[#This Row],[Population projection 2020]]*0.56</f>
        <v>137933.28329639282</v>
      </c>
      <c r="I56" s="8">
        <f>Table1[[#This Row],[Female]]*0.44</f>
        <v>57439.360115569296</v>
      </c>
      <c r="J56" s="8">
        <f>Table1[[#This Row],[Male]]*0.41</f>
        <v>47463.828020026587</v>
      </c>
      <c r="K56" s="8">
        <f>Table1[[#This Row],[Population projection 2020]]*0.05</f>
        <v>12315.471722892216</v>
      </c>
      <c r="L56" s="55">
        <f>SUM(Table1[[#This Row],[IDPs / Migrants Male]:[IDPs / Migrants Female]])</f>
        <v>1066</v>
      </c>
      <c r="M56" s="8">
        <v>386</v>
      </c>
      <c r="N56" s="8">
        <v>680</v>
      </c>
      <c r="O56" s="8"/>
      <c r="P56" s="8"/>
      <c r="Q56" s="8"/>
      <c r="R56" s="8"/>
      <c r="S56" s="8">
        <f>Table1[[#This Row],[Population projection 2020]]*0.07</f>
        <v>17241.660412049103</v>
      </c>
    </row>
    <row r="57" spans="1:19" x14ac:dyDescent="0.2">
      <c r="A57" s="3" t="s">
        <v>76</v>
      </c>
      <c r="B57" s="3" t="s">
        <v>76</v>
      </c>
      <c r="C57" s="8">
        <v>256172.3393834717</v>
      </c>
      <c r="D57" s="8">
        <f>Table1[[#This Row],[Population projection 2020]]*0.47</f>
        <v>120400.99951023169</v>
      </c>
      <c r="E57" s="8">
        <f>Table1[[#This Row],[Population projection 2020]]*0.53</f>
        <v>135771.33987324001</v>
      </c>
      <c r="F57" s="8">
        <f>Table1[[#This Row],[Population projection 2020]]*0.08</f>
        <v>20493.787150677737</v>
      </c>
      <c r="G57" s="8">
        <f>Table1[[#This Row],[Population projection 2020]]*0.16</f>
        <v>40987.574301355475</v>
      </c>
      <c r="H57" s="8">
        <f>Table1[[#This Row],[Population projection 2020]]*0.56</f>
        <v>143456.51005474417</v>
      </c>
      <c r="I57" s="8">
        <f>Table1[[#This Row],[Female]]*0.44</f>
        <v>59739.389544225603</v>
      </c>
      <c r="J57" s="8">
        <f>Table1[[#This Row],[Male]]*0.41</f>
        <v>49364.409799194989</v>
      </c>
      <c r="K57" s="8">
        <f>Table1[[#This Row],[Population projection 2020]]*0.05</f>
        <v>12808.616969173585</v>
      </c>
      <c r="L57" s="55">
        <f>SUM(Table1[[#This Row],[IDPs / Migrants Male]:[IDPs / Migrants Female]])</f>
        <v>98</v>
      </c>
      <c r="M57" s="8">
        <v>35</v>
      </c>
      <c r="N57" s="8">
        <v>63</v>
      </c>
      <c r="O57" s="8">
        <v>1829</v>
      </c>
      <c r="P57" s="8">
        <v>1178</v>
      </c>
      <c r="Q57" s="8">
        <v>651</v>
      </c>
      <c r="R57" s="8"/>
      <c r="S57" s="8">
        <f>Table1[[#This Row],[Population projection 2020]]*0.07</f>
        <v>17932.063756843021</v>
      </c>
    </row>
    <row r="58" spans="1:19" x14ac:dyDescent="0.2">
      <c r="A58" s="3" t="s">
        <v>76</v>
      </c>
      <c r="B58" s="3" t="s">
        <v>82</v>
      </c>
      <c r="C58" s="8">
        <v>106592.62940158509</v>
      </c>
      <c r="D58" s="8">
        <f>Table1[[#This Row],[Population projection 2020]]*0.47</f>
        <v>50098.535818744989</v>
      </c>
      <c r="E58" s="8">
        <f>Table1[[#This Row],[Population projection 2020]]*0.53</f>
        <v>56494.093582840098</v>
      </c>
      <c r="F58" s="8">
        <f>Table1[[#This Row],[Population projection 2020]]*0.08</f>
        <v>8527.410352126808</v>
      </c>
      <c r="G58" s="8">
        <f>Table1[[#This Row],[Population projection 2020]]*0.16</f>
        <v>17054.820704253616</v>
      </c>
      <c r="H58" s="8">
        <f>Table1[[#This Row],[Population projection 2020]]*0.56</f>
        <v>59691.872464887652</v>
      </c>
      <c r="I58" s="8">
        <f>Table1[[#This Row],[Female]]*0.44</f>
        <v>24857.401176449643</v>
      </c>
      <c r="J58" s="8">
        <f>Table1[[#This Row],[Male]]*0.41</f>
        <v>20540.399685685443</v>
      </c>
      <c r="K58" s="8">
        <f>Table1[[#This Row],[Population projection 2020]]*0.05</f>
        <v>5329.6314700792545</v>
      </c>
      <c r="L58" s="55">
        <f>SUM(Table1[[#This Row],[IDPs / Migrants Male]:[IDPs / Migrants Female]])</f>
        <v>0</v>
      </c>
      <c r="M58" s="8"/>
      <c r="N58" s="8"/>
      <c r="O58" s="8"/>
      <c r="P58" s="8"/>
      <c r="Q58" s="8"/>
      <c r="R58" s="8"/>
      <c r="S58" s="8">
        <f>Table1[[#This Row],[Population projection 2020]]*0.07</f>
        <v>7461.4840581109565</v>
      </c>
    </row>
    <row r="59" spans="1:19" x14ac:dyDescent="0.2">
      <c r="A59" s="3" t="s">
        <v>76</v>
      </c>
      <c r="B59" s="3" t="s">
        <v>80</v>
      </c>
      <c r="C59" s="8">
        <v>202537.63923331245</v>
      </c>
      <c r="D59" s="8">
        <f>Table1[[#This Row],[Population projection 2020]]*0.47</f>
        <v>95192.690439656842</v>
      </c>
      <c r="E59" s="8">
        <f>Table1[[#This Row],[Population projection 2020]]*0.53</f>
        <v>107344.94879365561</v>
      </c>
      <c r="F59" s="8">
        <f>Table1[[#This Row],[Population projection 2020]]*0.08</f>
        <v>16203.011138664997</v>
      </c>
      <c r="G59" s="8">
        <f>Table1[[#This Row],[Population projection 2020]]*0.16</f>
        <v>32406.022277329994</v>
      </c>
      <c r="H59" s="8">
        <f>Table1[[#This Row],[Population projection 2020]]*0.56</f>
        <v>113421.07797065498</v>
      </c>
      <c r="I59" s="8">
        <f>Table1[[#This Row],[Female]]*0.44</f>
        <v>47231.777469208471</v>
      </c>
      <c r="J59" s="8">
        <f>Table1[[#This Row],[Male]]*0.41</f>
        <v>39029.003080259303</v>
      </c>
      <c r="K59" s="8">
        <f>Table1[[#This Row],[Population projection 2020]]*0.05</f>
        <v>10126.881961665624</v>
      </c>
      <c r="L59" s="55">
        <f>SUM(Table1[[#This Row],[IDPs / Migrants Male]:[IDPs / Migrants Female]])</f>
        <v>0</v>
      </c>
      <c r="M59" s="8"/>
      <c r="N59" s="8"/>
      <c r="O59" s="8"/>
      <c r="P59" s="8"/>
      <c r="Q59" s="8"/>
      <c r="R59" s="8"/>
      <c r="S59" s="8">
        <f>Table1[[#This Row],[Population projection 2020]]*0.07</f>
        <v>14177.634746331873</v>
      </c>
    </row>
    <row r="60" spans="1:19" x14ac:dyDescent="0.2">
      <c r="A60" s="3" t="s">
        <v>76</v>
      </c>
      <c r="B60" s="3" t="s">
        <v>81</v>
      </c>
      <c r="C60" s="8">
        <v>219891.11238578134</v>
      </c>
      <c r="D60" s="8">
        <f>Table1[[#This Row],[Population projection 2020]]*0.47</f>
        <v>103348.82282131723</v>
      </c>
      <c r="E60" s="8">
        <f>Table1[[#This Row],[Population projection 2020]]*0.53</f>
        <v>116542.28956446411</v>
      </c>
      <c r="F60" s="8">
        <f>Table1[[#This Row],[Population projection 2020]]*0.08</f>
        <v>17591.288990862507</v>
      </c>
      <c r="G60" s="8">
        <f>Table1[[#This Row],[Population projection 2020]]*0.16</f>
        <v>35182.577981725015</v>
      </c>
      <c r="H60" s="8">
        <f>Table1[[#This Row],[Population projection 2020]]*0.56</f>
        <v>123139.02293603757</v>
      </c>
      <c r="I60" s="8">
        <f>Table1[[#This Row],[Female]]*0.44</f>
        <v>51278.607408364209</v>
      </c>
      <c r="J60" s="8">
        <f>Table1[[#This Row],[Male]]*0.41</f>
        <v>42373.017356740063</v>
      </c>
      <c r="K60" s="8">
        <f>Table1[[#This Row],[Population projection 2020]]*0.05</f>
        <v>10994.555619289067</v>
      </c>
      <c r="L60" s="55">
        <f>SUM(Table1[[#This Row],[IDPs / Migrants Male]:[IDPs / Migrants Female]])</f>
        <v>404</v>
      </c>
      <c r="M60" s="8">
        <v>165</v>
      </c>
      <c r="N60" s="8">
        <v>239</v>
      </c>
      <c r="O60" s="8"/>
      <c r="P60" s="8"/>
      <c r="Q60" s="8"/>
      <c r="R60" s="8"/>
      <c r="S60" s="8">
        <f>Table1[[#This Row],[Population projection 2020]]*0.07</f>
        <v>15392.377867004696</v>
      </c>
    </row>
    <row r="61" spans="1:19" x14ac:dyDescent="0.2">
      <c r="A61" s="3" t="s">
        <v>47</v>
      </c>
      <c r="B61" s="3" t="s">
        <v>48</v>
      </c>
      <c r="C61" s="8">
        <v>168069.27561323709</v>
      </c>
      <c r="D61" s="8">
        <f>Table1[[#This Row],[Population projection 2020]]*0.48</f>
        <v>80673.252294353792</v>
      </c>
      <c r="E61" s="8">
        <f>Table1[[#This Row],[Population projection 2020]]*0.52</f>
        <v>87396.023318883294</v>
      </c>
      <c r="F61" s="8">
        <f>Table1[[#This Row],[Population projection 2020]]*0.08</f>
        <v>13445.542049058968</v>
      </c>
      <c r="G61" s="8">
        <f>Table1[[#This Row],[Population projection 2020]]*0.15</f>
        <v>25210.391341985563</v>
      </c>
      <c r="H61" s="8">
        <f>Table1[[#This Row],[Population projection 2020]]*0.55</f>
        <v>92438.101587280398</v>
      </c>
      <c r="I61" s="8">
        <f>Table1[[#This Row],[Female]]*0.43</f>
        <v>37580.290027119816</v>
      </c>
      <c r="J61" s="8">
        <f>Table1[[#This Row],[Male]]*0.43</f>
        <v>34689.498486572127</v>
      </c>
      <c r="K61" s="8">
        <f>Table1[[#This Row],[Population projection 2020]]*0.05</f>
        <v>8403.4637806618539</v>
      </c>
      <c r="L61" s="55">
        <f>SUM(Table1[[#This Row],[IDPs / Migrants Male]:[IDPs / Migrants Female]])</f>
        <v>0</v>
      </c>
      <c r="M61" s="8"/>
      <c r="N61" s="8"/>
      <c r="O61" s="8">
        <v>1387</v>
      </c>
      <c r="P61" s="8">
        <v>854</v>
      </c>
      <c r="Q61" s="8">
        <v>533</v>
      </c>
      <c r="R61" s="8"/>
      <c r="S61" s="8">
        <f>Table1[[#This Row],[Population projection 2020]]*0.07</f>
        <v>11764.849292926598</v>
      </c>
    </row>
    <row r="62" spans="1:19" x14ac:dyDescent="0.2">
      <c r="A62" s="3" t="s">
        <v>47</v>
      </c>
      <c r="B62" s="3" t="s">
        <v>49</v>
      </c>
      <c r="C62" s="8">
        <v>74775.191835432313</v>
      </c>
      <c r="D62" s="8">
        <f>Table1[[#This Row],[Population projection 2020]]*0.48</f>
        <v>35892.092081007511</v>
      </c>
      <c r="E62" s="8">
        <f>Table1[[#This Row],[Population projection 2020]]*0.52</f>
        <v>38883.099754424802</v>
      </c>
      <c r="F62" s="8">
        <f>Table1[[#This Row],[Population projection 2020]]*0.08</f>
        <v>5982.0153468345852</v>
      </c>
      <c r="G62" s="8">
        <f>Table1[[#This Row],[Population projection 2020]]*0.15</f>
        <v>11216.278775314846</v>
      </c>
      <c r="H62" s="8">
        <f>Table1[[#This Row],[Population projection 2020]]*0.55</f>
        <v>41126.355509487774</v>
      </c>
      <c r="I62" s="8">
        <f>Table1[[#This Row],[Female]]*0.43</f>
        <v>16719.732894402663</v>
      </c>
      <c r="J62" s="8">
        <f>Table1[[#This Row],[Male]]*0.43</f>
        <v>15433.599594833229</v>
      </c>
      <c r="K62" s="8">
        <f>Table1[[#This Row],[Population projection 2020]]*0.05</f>
        <v>3738.7595917716158</v>
      </c>
      <c r="L62" s="55">
        <f>SUM(Table1[[#This Row],[IDPs / Migrants Male]:[IDPs / Migrants Female]])</f>
        <v>0</v>
      </c>
      <c r="M62" s="8"/>
      <c r="N62" s="8"/>
      <c r="O62" s="8"/>
      <c r="P62" s="8"/>
      <c r="Q62" s="8"/>
      <c r="R62" s="8"/>
      <c r="S62" s="8">
        <f>Table1[[#This Row],[Population projection 2020]]*0.07</f>
        <v>5234.2634284802625</v>
      </c>
    </row>
    <row r="63" spans="1:19" x14ac:dyDescent="0.2">
      <c r="A63" s="3" t="s">
        <v>47</v>
      </c>
      <c r="B63" s="3" t="s">
        <v>98</v>
      </c>
      <c r="C63" s="8">
        <v>75726.148899157168</v>
      </c>
      <c r="D63" s="8">
        <f>Table1[[#This Row],[Population projection 2020]]*0.48</f>
        <v>36348.551471595441</v>
      </c>
      <c r="E63" s="8">
        <f>Table1[[#This Row],[Population projection 2020]]*0.52</f>
        <v>39377.597427561726</v>
      </c>
      <c r="F63" s="8">
        <f>Table1[[#This Row],[Population projection 2020]]*0.08</f>
        <v>6058.0919119325736</v>
      </c>
      <c r="G63" s="8">
        <f>Table1[[#This Row],[Population projection 2020]]*0.15</f>
        <v>11358.922334873574</v>
      </c>
      <c r="H63" s="8">
        <f>Table1[[#This Row],[Population projection 2020]]*0.55</f>
        <v>41649.381894536447</v>
      </c>
      <c r="I63" s="8">
        <f>Table1[[#This Row],[Female]]*0.43</f>
        <v>16932.366893851544</v>
      </c>
      <c r="J63" s="8">
        <f>Table1[[#This Row],[Male]]*0.43</f>
        <v>15629.87713278604</v>
      </c>
      <c r="K63" s="8">
        <f>Table1[[#This Row],[Population projection 2020]]*0.05</f>
        <v>3786.3074449578585</v>
      </c>
      <c r="L63" s="55">
        <f>SUM(Table1[[#This Row],[IDPs / Migrants Male]:[IDPs / Migrants Female]])</f>
        <v>0</v>
      </c>
      <c r="M63" s="8"/>
      <c r="N63" s="8"/>
      <c r="O63" s="8"/>
      <c r="P63" s="8"/>
      <c r="Q63" s="8"/>
      <c r="R63" s="8"/>
      <c r="S63" s="8">
        <f>Table1[[#This Row],[Population projection 2020]]*0.07</f>
        <v>5300.8304229410023</v>
      </c>
    </row>
    <row r="64" spans="1:19" x14ac:dyDescent="0.2">
      <c r="A64" s="3" t="s">
        <v>47</v>
      </c>
      <c r="B64" s="3" t="s">
        <v>54</v>
      </c>
      <c r="C64" s="8">
        <v>45339.022801885672</v>
      </c>
      <c r="D64" s="8">
        <f>Table1[[#This Row],[Population projection 2020]]*0.48</f>
        <v>21762.730944905121</v>
      </c>
      <c r="E64" s="8">
        <f>Table1[[#This Row],[Population projection 2020]]*0.52</f>
        <v>23576.291856980552</v>
      </c>
      <c r="F64" s="8">
        <f>Table1[[#This Row],[Population projection 2020]]*0.08</f>
        <v>3627.1218241508541</v>
      </c>
      <c r="G64" s="8">
        <f>Table1[[#This Row],[Population projection 2020]]*0.15</f>
        <v>6800.8534202828505</v>
      </c>
      <c r="H64" s="8">
        <f>Table1[[#This Row],[Population projection 2020]]*0.55</f>
        <v>24936.462541037123</v>
      </c>
      <c r="I64" s="8">
        <f>Table1[[#This Row],[Female]]*0.43</f>
        <v>10137.805498501637</v>
      </c>
      <c r="J64" s="8">
        <f>Table1[[#This Row],[Male]]*0.43</f>
        <v>9357.974306309201</v>
      </c>
      <c r="K64" s="8">
        <f>Table1[[#This Row],[Population projection 2020]]*0.05</f>
        <v>2266.9511400942838</v>
      </c>
      <c r="L64" s="55">
        <f>SUM(Table1[[#This Row],[IDPs / Migrants Male]:[IDPs / Migrants Female]])</f>
        <v>0</v>
      </c>
      <c r="M64" s="8"/>
      <c r="N64" s="8"/>
      <c r="O64" s="8"/>
      <c r="P64" s="8"/>
      <c r="Q64" s="8"/>
      <c r="R64" s="8"/>
      <c r="S64" s="8">
        <f>Table1[[#This Row],[Population projection 2020]]*0.07</f>
        <v>3173.7315961319973</v>
      </c>
    </row>
    <row r="65" spans="1:19" x14ac:dyDescent="0.2">
      <c r="A65" s="3" t="s">
        <v>47</v>
      </c>
      <c r="B65" s="3" t="s">
        <v>50</v>
      </c>
      <c r="C65" s="8">
        <v>121027.7134177195</v>
      </c>
      <c r="D65" s="8">
        <f>Table1[[#This Row],[Population projection 2020]]*0.48</f>
        <v>58093.302440505358</v>
      </c>
      <c r="E65" s="8">
        <f>Table1[[#This Row],[Population projection 2020]]*0.52</f>
        <v>62934.410977214138</v>
      </c>
      <c r="F65" s="8">
        <f>Table1[[#This Row],[Population projection 2020]]*0.08</f>
        <v>9682.2170734175597</v>
      </c>
      <c r="G65" s="8">
        <f>Table1[[#This Row],[Population projection 2020]]*0.15</f>
        <v>18154.157012657924</v>
      </c>
      <c r="H65" s="8">
        <f>Table1[[#This Row],[Population projection 2020]]*0.55</f>
        <v>66565.24237974573</v>
      </c>
      <c r="I65" s="8">
        <f>Table1[[#This Row],[Female]]*0.43</f>
        <v>27061.796720202077</v>
      </c>
      <c r="J65" s="8">
        <f>Table1[[#This Row],[Male]]*0.43</f>
        <v>24980.120049417303</v>
      </c>
      <c r="K65" s="8">
        <f>Table1[[#This Row],[Population projection 2020]]*0.05</f>
        <v>6051.3856708859748</v>
      </c>
      <c r="L65" s="55">
        <f>SUM(Table1[[#This Row],[IDPs / Migrants Male]:[IDPs / Migrants Female]])</f>
        <v>0</v>
      </c>
      <c r="M65" s="8"/>
      <c r="N65" s="8"/>
      <c r="O65" s="8"/>
      <c r="P65" s="8"/>
      <c r="Q65" s="8"/>
      <c r="R65" s="8"/>
      <c r="S65" s="8">
        <f>Table1[[#This Row],[Population projection 2020]]*0.07</f>
        <v>8471.9399392403648</v>
      </c>
    </row>
    <row r="66" spans="1:19" x14ac:dyDescent="0.2">
      <c r="A66" s="3" t="s">
        <v>47</v>
      </c>
      <c r="B66" s="3" t="s">
        <v>51</v>
      </c>
      <c r="C66" s="8">
        <v>131871.28227396708</v>
      </c>
      <c r="D66" s="8">
        <f>Table1[[#This Row],[Population projection 2020]]*0.48</f>
        <v>63298.215491504197</v>
      </c>
      <c r="E66" s="8">
        <f>Table1[[#This Row],[Population projection 2020]]*0.52</f>
        <v>68573.066782462891</v>
      </c>
      <c r="F66" s="8">
        <f>Table1[[#This Row],[Population projection 2020]]*0.08</f>
        <v>10549.702581917367</v>
      </c>
      <c r="G66" s="8">
        <f>Table1[[#This Row],[Population projection 2020]]*0.15</f>
        <v>19780.692341095062</v>
      </c>
      <c r="H66" s="8">
        <f>Table1[[#This Row],[Population projection 2020]]*0.55</f>
        <v>72529.205250681902</v>
      </c>
      <c r="I66" s="8">
        <f>Table1[[#This Row],[Female]]*0.43</f>
        <v>29486.418716459044</v>
      </c>
      <c r="J66" s="8">
        <f>Table1[[#This Row],[Male]]*0.43</f>
        <v>27218.232661346803</v>
      </c>
      <c r="K66" s="8">
        <f>Table1[[#This Row],[Population projection 2020]]*0.05</f>
        <v>6593.564113698354</v>
      </c>
      <c r="L66" s="55">
        <f>SUM(Table1[[#This Row],[IDPs / Migrants Male]:[IDPs / Migrants Female]])</f>
        <v>0</v>
      </c>
      <c r="M66" s="8"/>
      <c r="N66" s="8"/>
      <c r="O66" s="8"/>
      <c r="P66" s="8"/>
      <c r="Q66" s="8"/>
      <c r="R66" s="8"/>
      <c r="S66" s="8">
        <f>Table1[[#This Row],[Population projection 2020]]*0.07</f>
        <v>9230.9897591776971</v>
      </c>
    </row>
    <row r="67" spans="1:19" x14ac:dyDescent="0.2">
      <c r="A67" s="3" t="s">
        <v>47</v>
      </c>
      <c r="B67" s="3" t="s">
        <v>52</v>
      </c>
      <c r="C67" s="8">
        <v>139101.93928709227</v>
      </c>
      <c r="D67" s="8">
        <f>Table1[[#This Row],[Population projection 2020]]*0.48</f>
        <v>66768.930857804284</v>
      </c>
      <c r="E67" s="8">
        <f>Table1[[#This Row],[Population projection 2020]]*0.52</f>
        <v>72333.008429287991</v>
      </c>
      <c r="F67" s="8">
        <f>Table1[[#This Row],[Population projection 2020]]*0.08</f>
        <v>11128.155142967382</v>
      </c>
      <c r="G67" s="8">
        <f>Table1[[#This Row],[Population projection 2020]]*0.15</f>
        <v>20865.29089306384</v>
      </c>
      <c r="H67" s="8">
        <f>Table1[[#This Row],[Population projection 2020]]*0.55</f>
        <v>76506.066607900764</v>
      </c>
      <c r="I67" s="8">
        <f>Table1[[#This Row],[Female]]*0.43</f>
        <v>31103.193624593834</v>
      </c>
      <c r="J67" s="8">
        <f>Table1[[#This Row],[Male]]*0.43</f>
        <v>28710.640268855841</v>
      </c>
      <c r="K67" s="8">
        <f>Table1[[#This Row],[Population projection 2020]]*0.05</f>
        <v>6955.0969643546141</v>
      </c>
      <c r="L67" s="55">
        <f>SUM(Table1[[#This Row],[IDPs / Migrants Male]:[IDPs / Migrants Female]])</f>
        <v>0</v>
      </c>
      <c r="M67" s="8"/>
      <c r="N67" s="8"/>
      <c r="O67" s="8"/>
      <c r="P67" s="8"/>
      <c r="Q67" s="8"/>
      <c r="R67" s="8"/>
      <c r="S67" s="8">
        <f>Table1[[#This Row],[Population projection 2020]]*0.07</f>
        <v>9737.1357500964605</v>
      </c>
    </row>
    <row r="68" spans="1:19" x14ac:dyDescent="0.2">
      <c r="A68" s="3" t="s">
        <v>47</v>
      </c>
      <c r="B68" s="3" t="s">
        <v>53</v>
      </c>
      <c r="C68" s="8">
        <v>108371.64698131017</v>
      </c>
      <c r="D68" s="8">
        <f>Table1[[#This Row],[Population projection 2020]]*0.48</f>
        <v>52018.390551028882</v>
      </c>
      <c r="E68" s="8">
        <f>Table1[[#This Row],[Population projection 2020]]*0.52</f>
        <v>56353.25643028129</v>
      </c>
      <c r="F68" s="8">
        <f>Table1[[#This Row],[Population projection 2020]]*0.08</f>
        <v>8669.7317585048131</v>
      </c>
      <c r="G68" s="8">
        <f>Table1[[#This Row],[Population projection 2020]]*0.15</f>
        <v>16255.747047196524</v>
      </c>
      <c r="H68" s="8">
        <f>Table1[[#This Row],[Population projection 2020]]*0.55</f>
        <v>59604.405839720603</v>
      </c>
      <c r="I68" s="8">
        <f>Table1[[#This Row],[Female]]*0.43</f>
        <v>24231.900265020955</v>
      </c>
      <c r="J68" s="8">
        <f>Table1[[#This Row],[Male]]*0.43</f>
        <v>22367.907936942418</v>
      </c>
      <c r="K68" s="8">
        <f>Table1[[#This Row],[Population projection 2020]]*0.05</f>
        <v>5418.5823490655093</v>
      </c>
      <c r="L68" s="55">
        <f>SUM(Table1[[#This Row],[IDPs / Migrants Male]:[IDPs / Migrants Female]])</f>
        <v>0</v>
      </c>
      <c r="M68" s="8"/>
      <c r="N68" s="8"/>
      <c r="O68" s="8"/>
      <c r="P68" s="8"/>
      <c r="Q68" s="8"/>
      <c r="R68" s="8"/>
      <c r="S68" s="8">
        <f>Table1[[#This Row],[Population projection 2020]]*0.07</f>
        <v>7586.0152886917131</v>
      </c>
    </row>
    <row r="69" spans="1:19" x14ac:dyDescent="0.2">
      <c r="A69" s="3" t="s">
        <v>47</v>
      </c>
      <c r="B69" s="3" t="s">
        <v>55</v>
      </c>
      <c r="C69" s="8">
        <v>40778.778890198751</v>
      </c>
      <c r="D69" s="8">
        <f>Table1[[#This Row],[Population projection 2020]]*0.48</f>
        <v>19573.813867295401</v>
      </c>
      <c r="E69" s="8">
        <f>Table1[[#This Row],[Population projection 2020]]*0.52</f>
        <v>21204.96502290335</v>
      </c>
      <c r="F69" s="8">
        <f>Table1[[#This Row],[Population projection 2020]]*0.08</f>
        <v>3262.3023112159003</v>
      </c>
      <c r="G69" s="8">
        <f>Table1[[#This Row],[Population projection 2020]]*0.15</f>
        <v>6116.8168335298124</v>
      </c>
      <c r="H69" s="8">
        <f>Table1[[#This Row],[Population projection 2020]]*0.55</f>
        <v>22428.328389609316</v>
      </c>
      <c r="I69" s="8">
        <f>Table1[[#This Row],[Female]]*0.43</f>
        <v>9118.1349598484412</v>
      </c>
      <c r="J69" s="8">
        <f>Table1[[#This Row],[Male]]*0.43</f>
        <v>8416.7399629370229</v>
      </c>
      <c r="K69" s="8">
        <f>Table1[[#This Row],[Population projection 2020]]*0.05</f>
        <v>2038.9389445099378</v>
      </c>
      <c r="L69" s="55">
        <f>SUM(Table1[[#This Row],[IDPs / Migrants Male]:[IDPs / Migrants Female]])</f>
        <v>0</v>
      </c>
      <c r="M69" s="8"/>
      <c r="N69" s="8"/>
      <c r="O69" s="8"/>
      <c r="P69" s="8"/>
      <c r="Q69" s="8"/>
      <c r="R69" s="8"/>
      <c r="S69" s="8">
        <f>Table1[[#This Row],[Population projection 2020]]*0.07</f>
        <v>2854.5145223139129</v>
      </c>
    </row>
    <row r="70" spans="1:19" x14ac:dyDescent="0.2">
      <c r="A70" s="3" t="s">
        <v>56</v>
      </c>
      <c r="B70" s="3" t="s">
        <v>97</v>
      </c>
      <c r="C70" s="8">
        <v>96543.568115187605</v>
      </c>
      <c r="D70" s="8">
        <f>Table1[[#This Row],[Population projection 2020]]*0.48</f>
        <v>46340.912695290048</v>
      </c>
      <c r="E70" s="8">
        <f>Table1[[#This Row],[Population projection 2020]]*0.52</f>
        <v>50202.655419897557</v>
      </c>
      <c r="F70" s="8">
        <f>Table1[[#This Row],[Population projection 2020]]*0.08</f>
        <v>7723.4854492150089</v>
      </c>
      <c r="G70" s="8">
        <f>Table1[[#This Row],[Population projection 2020]]*0.15</f>
        <v>14481.53521727814</v>
      </c>
      <c r="H70" s="8">
        <f>Table1[[#This Row],[Population projection 2020]]*0.55</f>
        <v>53098.962463353186</v>
      </c>
      <c r="I70" s="8">
        <f>Table1[[#This Row],[Female]]*0.43</f>
        <v>21587.141830555949</v>
      </c>
      <c r="J70" s="8">
        <f>Table1[[#This Row],[Male]]*0.43</f>
        <v>19926.592458974719</v>
      </c>
      <c r="K70" s="8">
        <f>Table1[[#This Row],[Population projection 2020]]*0.06</f>
        <v>5792.614086911256</v>
      </c>
      <c r="L70" s="55">
        <f>SUM(Table1[[#This Row],[IDPs / Migrants Male]:[IDPs / Migrants Female]])</f>
        <v>0</v>
      </c>
      <c r="M70" s="8"/>
      <c r="N70" s="8"/>
      <c r="O70" s="8">
        <v>3082</v>
      </c>
      <c r="P70" s="8">
        <v>2020</v>
      </c>
      <c r="Q70" s="8">
        <v>1062</v>
      </c>
      <c r="R70" s="8"/>
      <c r="S70" s="8">
        <f>Table1[[#This Row],[Population projection 2020]]*0.07</f>
        <v>6758.0497680631333</v>
      </c>
    </row>
    <row r="71" spans="1:19" x14ac:dyDescent="0.2">
      <c r="A71" s="3" t="s">
        <v>56</v>
      </c>
      <c r="B71" s="3" t="s">
        <v>64</v>
      </c>
      <c r="C71" s="8">
        <v>50798.001194631324</v>
      </c>
      <c r="D71" s="8">
        <f>Table1[[#This Row],[Population projection 2020]]*0.48</f>
        <v>24383.040573423033</v>
      </c>
      <c r="E71" s="8">
        <f>Table1[[#This Row],[Population projection 2020]]*0.52</f>
        <v>26414.960621208291</v>
      </c>
      <c r="F71" s="8">
        <f>Table1[[#This Row],[Population projection 2020]]*0.08</f>
        <v>4063.840095570506</v>
      </c>
      <c r="G71" s="8">
        <f>Table1[[#This Row],[Population projection 2020]]*0.15</f>
        <v>7619.7001791946986</v>
      </c>
      <c r="H71" s="8">
        <f>Table1[[#This Row],[Population projection 2020]]*0.55</f>
        <v>27938.90065704723</v>
      </c>
      <c r="I71" s="8">
        <f>Table1[[#This Row],[Female]]*0.43</f>
        <v>11358.433067119566</v>
      </c>
      <c r="J71" s="8">
        <f>Table1[[#This Row],[Male]]*0.43</f>
        <v>10484.707446571903</v>
      </c>
      <c r="K71" s="8">
        <f>Table1[[#This Row],[Population projection 2020]]*0.06</f>
        <v>3047.8800716778792</v>
      </c>
      <c r="L71" s="55">
        <f>SUM(Table1[[#This Row],[IDPs / Migrants Male]:[IDPs / Migrants Female]])</f>
        <v>0</v>
      </c>
      <c r="M71" s="8"/>
      <c r="N71" s="8"/>
      <c r="O71" s="8"/>
      <c r="P71" s="8"/>
      <c r="Q71" s="8"/>
      <c r="R71" s="8"/>
      <c r="S71" s="8">
        <f>Table1[[#This Row],[Population projection 2020]]*0.07</f>
        <v>3555.8600836241931</v>
      </c>
    </row>
    <row r="72" spans="1:19" x14ac:dyDescent="0.2">
      <c r="A72" s="3" t="s">
        <v>56</v>
      </c>
      <c r="B72" s="3" t="s">
        <v>57</v>
      </c>
      <c r="C72" s="8">
        <v>109175.25657230006</v>
      </c>
      <c r="D72" s="8">
        <f>Table1[[#This Row],[Population projection 2020]]*0.48</f>
        <v>52404.12315470403</v>
      </c>
      <c r="E72" s="8">
        <f>Table1[[#This Row],[Population projection 2020]]*0.52</f>
        <v>56771.133417596029</v>
      </c>
      <c r="F72" s="8">
        <f>Table1[[#This Row],[Population projection 2020]]*0.08</f>
        <v>8734.0205257840043</v>
      </c>
      <c r="G72" s="8">
        <f>Table1[[#This Row],[Population projection 2020]]*0.15</f>
        <v>16376.288485845009</v>
      </c>
      <c r="H72" s="8">
        <f>Table1[[#This Row],[Population projection 2020]]*0.55</f>
        <v>60046.391114765036</v>
      </c>
      <c r="I72" s="8">
        <f>Table1[[#This Row],[Female]]*0.43</f>
        <v>24411.587369566292</v>
      </c>
      <c r="J72" s="8">
        <f>Table1[[#This Row],[Male]]*0.43</f>
        <v>22533.772956522731</v>
      </c>
      <c r="K72" s="8">
        <f>Table1[[#This Row],[Population projection 2020]]*0.06</f>
        <v>6550.5153943380037</v>
      </c>
      <c r="L72" s="55">
        <f>SUM(Table1[[#This Row],[IDPs / Migrants Male]:[IDPs / Migrants Female]])</f>
        <v>0</v>
      </c>
      <c r="M72" s="8"/>
      <c r="N72" s="8"/>
      <c r="O72" s="8"/>
      <c r="P72" s="8"/>
      <c r="Q72" s="8"/>
      <c r="R72" s="8"/>
      <c r="S72" s="8">
        <f>Table1[[#This Row],[Population projection 2020]]*0.07</f>
        <v>7642.2679600610045</v>
      </c>
    </row>
    <row r="73" spans="1:19" x14ac:dyDescent="0.2">
      <c r="A73" s="3" t="s">
        <v>56</v>
      </c>
      <c r="B73" s="3" t="s">
        <v>59</v>
      </c>
      <c r="C73" s="8">
        <v>139575.45583007869</v>
      </c>
      <c r="D73" s="8">
        <f>Table1[[#This Row],[Population projection 2020]]*0.48</f>
        <v>66996.218798437767</v>
      </c>
      <c r="E73" s="8">
        <f>Table1[[#This Row],[Population projection 2020]]*0.52</f>
        <v>72579.237031640921</v>
      </c>
      <c r="F73" s="8">
        <f>Table1[[#This Row],[Population projection 2020]]*0.08</f>
        <v>11166.036466406294</v>
      </c>
      <c r="G73" s="8">
        <f>Table1[[#This Row],[Population projection 2020]]*0.15</f>
        <v>20936.318374511804</v>
      </c>
      <c r="H73" s="8">
        <f>Table1[[#This Row],[Population projection 2020]]*0.55</f>
        <v>76766.500706543287</v>
      </c>
      <c r="I73" s="8">
        <f>Table1[[#This Row],[Female]]*0.43</f>
        <v>31209.071923605596</v>
      </c>
      <c r="J73" s="8">
        <f>Table1[[#This Row],[Male]]*0.43</f>
        <v>28808.374083328239</v>
      </c>
      <c r="K73" s="8">
        <f>Table1[[#This Row],[Population projection 2020]]*0.06</f>
        <v>8374.5273498047209</v>
      </c>
      <c r="L73" s="55">
        <f>SUM(Table1[[#This Row],[IDPs / Migrants Male]:[IDPs / Migrants Female]])</f>
        <v>0</v>
      </c>
      <c r="M73" s="8"/>
      <c r="N73" s="8"/>
      <c r="O73" s="8"/>
      <c r="P73" s="8"/>
      <c r="Q73" s="8"/>
      <c r="R73" s="8"/>
      <c r="S73" s="8">
        <f>Table1[[#This Row],[Population projection 2020]]*0.07</f>
        <v>9770.2819081055095</v>
      </c>
    </row>
    <row r="74" spans="1:19" x14ac:dyDescent="0.2">
      <c r="A74" s="3" t="s">
        <v>56</v>
      </c>
      <c r="B74" s="3" t="s">
        <v>63</v>
      </c>
      <c r="C74" s="8">
        <v>24384.535447796658</v>
      </c>
      <c r="D74" s="8">
        <f>Table1[[#This Row],[Population projection 2020]]*0.48</f>
        <v>11704.577014942395</v>
      </c>
      <c r="E74" s="8">
        <f>Table1[[#This Row],[Population projection 2020]]*0.52</f>
        <v>12679.958432854262</v>
      </c>
      <c r="F74" s="8">
        <f>Table1[[#This Row],[Population projection 2020]]*0.08</f>
        <v>1950.7628358237325</v>
      </c>
      <c r="G74" s="8">
        <f>Table1[[#This Row],[Population projection 2020]]*0.15</f>
        <v>3657.6803171694987</v>
      </c>
      <c r="H74" s="8">
        <f>Table1[[#This Row],[Population projection 2020]]*0.55</f>
        <v>13411.494496288162</v>
      </c>
      <c r="I74" s="8">
        <f>Table1[[#This Row],[Female]]*0.43</f>
        <v>5452.3821261273324</v>
      </c>
      <c r="J74" s="8">
        <f>Table1[[#This Row],[Male]]*0.43</f>
        <v>5032.9681164252297</v>
      </c>
      <c r="K74" s="8">
        <f>Table1[[#This Row],[Population projection 2020]]*0.06</f>
        <v>1463.0721268677994</v>
      </c>
      <c r="L74" s="55">
        <f>SUM(Table1[[#This Row],[IDPs / Migrants Male]:[IDPs / Migrants Female]])</f>
        <v>0</v>
      </c>
      <c r="M74" s="8"/>
      <c r="N74" s="8"/>
      <c r="O74" s="8"/>
      <c r="P74" s="8"/>
      <c r="Q74" s="8"/>
      <c r="R74" s="8"/>
      <c r="S74" s="8">
        <f>Table1[[#This Row],[Population projection 2020]]*0.07</f>
        <v>1706.9174813457662</v>
      </c>
    </row>
    <row r="75" spans="1:19" x14ac:dyDescent="0.2">
      <c r="A75" s="3" t="s">
        <v>56</v>
      </c>
      <c r="B75" s="3" t="s">
        <v>60</v>
      </c>
      <c r="C75" s="8">
        <v>120955.83107152727</v>
      </c>
      <c r="D75" s="8">
        <f>Table1[[#This Row],[Population projection 2020]]*0.48</f>
        <v>58058.798914333085</v>
      </c>
      <c r="E75" s="8">
        <f>Table1[[#This Row],[Population projection 2020]]*0.52</f>
        <v>62897.032157194182</v>
      </c>
      <c r="F75" s="8">
        <f>Table1[[#This Row],[Population projection 2020]]*0.08</f>
        <v>9676.4664857221815</v>
      </c>
      <c r="G75" s="8">
        <f>Table1[[#This Row],[Population projection 2020]]*0.15</f>
        <v>18143.374660729089</v>
      </c>
      <c r="H75" s="8">
        <f>Table1[[#This Row],[Population projection 2020]]*0.55</f>
        <v>66525.707089340009</v>
      </c>
      <c r="I75" s="8">
        <f>Table1[[#This Row],[Female]]*0.43</f>
        <v>27045.723827593498</v>
      </c>
      <c r="J75" s="8">
        <f>Table1[[#This Row],[Male]]*0.43</f>
        <v>24965.283533163227</v>
      </c>
      <c r="K75" s="8">
        <f>Table1[[#This Row],[Population projection 2020]]*0.06</f>
        <v>7257.3498642916356</v>
      </c>
      <c r="L75" s="55">
        <f>SUM(Table1[[#This Row],[IDPs / Migrants Male]:[IDPs / Migrants Female]])</f>
        <v>0</v>
      </c>
      <c r="M75" s="8"/>
      <c r="N75" s="8"/>
      <c r="O75" s="8"/>
      <c r="P75" s="8"/>
      <c r="Q75" s="8"/>
      <c r="R75" s="8"/>
      <c r="S75" s="8">
        <f>Table1[[#This Row],[Population projection 2020]]*0.07</f>
        <v>8466.908175006909</v>
      </c>
    </row>
    <row r="76" spans="1:19" x14ac:dyDescent="0.2">
      <c r="A76" s="3" t="s">
        <v>56</v>
      </c>
      <c r="B76" s="3" t="s">
        <v>58</v>
      </c>
      <c r="C76" s="8">
        <v>79828.702639155541</v>
      </c>
      <c r="D76" s="8">
        <f>Table1[[#This Row],[Population projection 2020]]*0.48</f>
        <v>38317.777266794656</v>
      </c>
      <c r="E76" s="8">
        <f>Table1[[#This Row],[Population projection 2020]]*0.52</f>
        <v>41510.925372360885</v>
      </c>
      <c r="F76" s="8">
        <f>Table1[[#This Row],[Population projection 2020]]*0.08</f>
        <v>6386.2962111324432</v>
      </c>
      <c r="G76" s="8">
        <f>Table1[[#This Row],[Population projection 2020]]*0.15</f>
        <v>11974.305395873331</v>
      </c>
      <c r="H76" s="8">
        <f>Table1[[#This Row],[Population projection 2020]]*0.55</f>
        <v>43905.786451535554</v>
      </c>
      <c r="I76" s="8">
        <f>Table1[[#This Row],[Female]]*0.43</f>
        <v>17849.697910115181</v>
      </c>
      <c r="J76" s="8">
        <f>Table1[[#This Row],[Male]]*0.43</f>
        <v>16476.644224721702</v>
      </c>
      <c r="K76" s="8">
        <f>Table1[[#This Row],[Population projection 2020]]*0.06</f>
        <v>4789.7221583493319</v>
      </c>
      <c r="L76" s="55">
        <f>SUM(Table1[[#This Row],[IDPs / Migrants Male]:[IDPs / Migrants Female]])</f>
        <v>0</v>
      </c>
      <c r="M76" s="8"/>
      <c r="N76" s="8"/>
      <c r="O76" s="8"/>
      <c r="P76" s="8"/>
      <c r="Q76" s="8"/>
      <c r="R76" s="8"/>
      <c r="S76" s="8">
        <f>Table1[[#This Row],[Population projection 2020]]*0.07</f>
        <v>5588.0091847408885</v>
      </c>
    </row>
    <row r="77" spans="1:19" x14ac:dyDescent="0.2">
      <c r="A77" s="3" t="s">
        <v>56</v>
      </c>
      <c r="B77" s="3" t="s">
        <v>61</v>
      </c>
      <c r="C77" s="8">
        <v>113248.78924042211</v>
      </c>
      <c r="D77" s="8">
        <f>Table1[[#This Row],[Population projection 2020]]*0.48</f>
        <v>54359.418835402612</v>
      </c>
      <c r="E77" s="8">
        <f>Table1[[#This Row],[Population projection 2020]]*0.52</f>
        <v>58889.370405019494</v>
      </c>
      <c r="F77" s="8">
        <f>Table1[[#This Row],[Population projection 2020]]*0.08</f>
        <v>9059.9031392337693</v>
      </c>
      <c r="G77" s="8">
        <f>Table1[[#This Row],[Population projection 2020]]*0.15</f>
        <v>16987.318386063314</v>
      </c>
      <c r="H77" s="8">
        <f>Table1[[#This Row],[Population projection 2020]]*0.55</f>
        <v>62286.834082232162</v>
      </c>
      <c r="I77" s="8">
        <f>Table1[[#This Row],[Female]]*0.43</f>
        <v>25322.429274158381</v>
      </c>
      <c r="J77" s="8">
        <f>Table1[[#This Row],[Male]]*0.43</f>
        <v>23374.550099223125</v>
      </c>
      <c r="K77" s="8">
        <f>Table1[[#This Row],[Population projection 2020]]*0.06</f>
        <v>6794.9273544253265</v>
      </c>
      <c r="L77" s="55">
        <f>SUM(Table1[[#This Row],[IDPs / Migrants Male]:[IDPs / Migrants Female]])</f>
        <v>0</v>
      </c>
      <c r="M77" s="8"/>
      <c r="N77" s="8"/>
      <c r="O77" s="8"/>
      <c r="P77" s="8"/>
      <c r="Q77" s="8"/>
      <c r="R77" s="8"/>
      <c r="S77" s="8">
        <f>Table1[[#This Row],[Population projection 2020]]*0.07</f>
        <v>7927.4152468295479</v>
      </c>
    </row>
    <row r="78" spans="1:19" x14ac:dyDescent="0.2">
      <c r="A78" s="3" t="s">
        <v>56</v>
      </c>
      <c r="B78" s="3" t="s">
        <v>65</v>
      </c>
      <c r="C78" s="8">
        <v>14015.652796563205</v>
      </c>
      <c r="D78" s="8">
        <f>Table1[[#This Row],[Population projection 2020]]*0.48</f>
        <v>6727.5133423503385</v>
      </c>
      <c r="E78" s="8">
        <f>Table1[[#This Row],[Population projection 2020]]*0.52</f>
        <v>7288.1394542128664</v>
      </c>
      <c r="F78" s="8">
        <f>Table1[[#This Row],[Population projection 2020]]*0.08</f>
        <v>1121.2522237250564</v>
      </c>
      <c r="G78" s="8">
        <f>Table1[[#This Row],[Population projection 2020]]*0.15</f>
        <v>2102.3479194844808</v>
      </c>
      <c r="H78" s="8">
        <f>Table1[[#This Row],[Population projection 2020]]*0.55</f>
        <v>7708.6090381097629</v>
      </c>
      <c r="I78" s="8">
        <f>Table1[[#This Row],[Female]]*0.43</f>
        <v>3133.8999653115325</v>
      </c>
      <c r="J78" s="8">
        <f>Table1[[#This Row],[Male]]*0.43</f>
        <v>2892.8307372106456</v>
      </c>
      <c r="K78" s="8">
        <f>Table1[[#This Row],[Population projection 2020]]*0.06</f>
        <v>840.93916779379231</v>
      </c>
      <c r="L78" s="55">
        <f>SUM(Table1[[#This Row],[IDPs / Migrants Male]:[IDPs / Migrants Female]])</f>
        <v>0</v>
      </c>
      <c r="M78" s="8"/>
      <c r="N78" s="8"/>
      <c r="O78" s="8"/>
      <c r="P78" s="8"/>
      <c r="Q78" s="8"/>
      <c r="R78" s="8"/>
      <c r="S78" s="8">
        <f>Table1[[#This Row],[Population projection 2020]]*0.07</f>
        <v>981.09569575942442</v>
      </c>
    </row>
    <row r="79" spans="1:19" x14ac:dyDescent="0.2">
      <c r="A79" s="3" t="s">
        <v>56</v>
      </c>
      <c r="B79" s="3" t="s">
        <v>62</v>
      </c>
      <c r="C79" s="8">
        <v>75937.207092337543</v>
      </c>
      <c r="D79" s="8">
        <f>Table1[[#This Row],[Population projection 2020]]*0.48</f>
        <v>36449.859404322022</v>
      </c>
      <c r="E79" s="8">
        <f>Table1[[#This Row],[Population projection 2020]]*0.52</f>
        <v>39487.347688015521</v>
      </c>
      <c r="F79" s="8">
        <f>Table1[[#This Row],[Population projection 2020]]*0.08</f>
        <v>6074.9765673870033</v>
      </c>
      <c r="G79" s="8">
        <f>Table1[[#This Row],[Population projection 2020]]*0.15</f>
        <v>11390.581063850632</v>
      </c>
      <c r="H79" s="8">
        <f>Table1[[#This Row],[Population projection 2020]]*0.55</f>
        <v>41765.463900785653</v>
      </c>
      <c r="I79" s="8">
        <f>Table1[[#This Row],[Female]]*0.43</f>
        <v>16979.559505846675</v>
      </c>
      <c r="J79" s="8">
        <f>Table1[[#This Row],[Male]]*0.43</f>
        <v>15673.439543858469</v>
      </c>
      <c r="K79" s="8">
        <f>Table1[[#This Row],[Population projection 2020]]*0.06</f>
        <v>4556.2324255402527</v>
      </c>
      <c r="L79" s="55">
        <f>SUM(Table1[[#This Row],[IDPs / Migrants Male]:[IDPs / Migrants Female]])</f>
        <v>0</v>
      </c>
      <c r="M79" s="8"/>
      <c r="N79" s="8"/>
      <c r="O79" s="8"/>
      <c r="P79" s="8"/>
      <c r="Q79" s="8"/>
      <c r="R79" s="8"/>
      <c r="S79" s="8">
        <f>Table1[[#This Row],[Population projection 2020]]*0.07</f>
        <v>5315.6044964636285</v>
      </c>
    </row>
    <row r="80" spans="1:19" x14ac:dyDescent="0.2">
      <c r="A80" s="3" t="s">
        <v>66</v>
      </c>
      <c r="B80" s="3" t="s">
        <v>67</v>
      </c>
      <c r="C80" s="8">
        <v>99073.36746915213</v>
      </c>
      <c r="D80" s="8">
        <f>Table1[[#This Row],[Population projection 2020]]*0.48</f>
        <v>47555.216385193024</v>
      </c>
      <c r="E80" s="8">
        <f>Table1[[#This Row],[Population projection 2020]]*0.52</f>
        <v>51518.151083959106</v>
      </c>
      <c r="F80" s="8">
        <f>Table1[[#This Row],[Population projection 2020]]*0.08</f>
        <v>7925.8693975321703</v>
      </c>
      <c r="G80" s="8">
        <f>Table1[[#This Row],[Population projection 2020]]*0.15</f>
        <v>14861.005120372818</v>
      </c>
      <c r="H80" s="8">
        <f>Table1[[#This Row],[Population projection 2020]]*0.54</f>
        <v>53499.618433342155</v>
      </c>
      <c r="I80" s="8">
        <f>Table1[[#This Row],[Female]]*0.47</f>
        <v>24213.531009460778</v>
      </c>
      <c r="J80" s="8">
        <f>Table1[[#This Row],[Male]]*0.46</f>
        <v>21875.39953718879</v>
      </c>
      <c r="K80" s="8">
        <f>Table1[[#This Row],[Population projection 2020]]*0.04</f>
        <v>3962.9346987660851</v>
      </c>
      <c r="L80" s="55">
        <f>SUM(Table1[[#This Row],[IDPs / Migrants Male]:[IDPs / Migrants Female]])</f>
        <v>0</v>
      </c>
      <c r="M80" s="8"/>
      <c r="N80" s="8"/>
      <c r="O80" s="8"/>
      <c r="P80" s="8"/>
      <c r="Q80" s="8"/>
      <c r="R80" s="8"/>
      <c r="S80" s="8">
        <f>Table1[[#This Row],[Population projection 2020]]*0.07</f>
        <v>6935.1357228406496</v>
      </c>
    </row>
    <row r="81" spans="1:19" x14ac:dyDescent="0.2">
      <c r="A81" s="3" t="s">
        <v>66</v>
      </c>
      <c r="B81" s="3" t="s">
        <v>68</v>
      </c>
      <c r="C81" s="8">
        <v>296355.76430841745</v>
      </c>
      <c r="D81" s="8">
        <f>Table1[[#This Row],[Population projection 2020]]*0.48</f>
        <v>142250.76686804037</v>
      </c>
      <c r="E81" s="8">
        <f>Table1[[#This Row],[Population projection 2020]]*0.52</f>
        <v>154104.99744037708</v>
      </c>
      <c r="F81" s="8">
        <f>Table1[[#This Row],[Population projection 2020]]*0.08</f>
        <v>23708.461144673398</v>
      </c>
      <c r="G81" s="8">
        <f>Table1[[#This Row],[Population projection 2020]]*0.15</f>
        <v>44453.364646262613</v>
      </c>
      <c r="H81" s="8">
        <f>Table1[[#This Row],[Population projection 2020]]*0.54</f>
        <v>160032.11272654543</v>
      </c>
      <c r="I81" s="8">
        <f>Table1[[#This Row],[Female]]*0.47</f>
        <v>72429.348796977225</v>
      </c>
      <c r="J81" s="8">
        <f>Table1[[#This Row],[Male]]*0.46</f>
        <v>65435.352759298577</v>
      </c>
      <c r="K81" s="8">
        <f>Table1[[#This Row],[Population projection 2020]]*0.04</f>
        <v>11854.230572336699</v>
      </c>
      <c r="L81" s="55">
        <f>SUM(Table1[[#This Row],[IDPs / Migrants Male]:[IDPs / Migrants Female]])</f>
        <v>0</v>
      </c>
      <c r="M81" s="8"/>
      <c r="N81" s="8"/>
      <c r="O81" s="8"/>
      <c r="P81" s="8"/>
      <c r="Q81" s="8"/>
      <c r="R81" s="8"/>
      <c r="S81" s="8">
        <f>Table1[[#This Row],[Population projection 2020]]*0.07</f>
        <v>20744.903501589222</v>
      </c>
    </row>
    <row r="82" spans="1:19" x14ac:dyDescent="0.2">
      <c r="A82" s="3" t="s">
        <v>66</v>
      </c>
      <c r="B82" s="3" t="s">
        <v>96</v>
      </c>
      <c r="C82" s="8">
        <v>377278.03169775242</v>
      </c>
      <c r="D82" s="8">
        <f>Table1[[#This Row],[Population projection 2020]]*0.48</f>
        <v>181093.45521492115</v>
      </c>
      <c r="E82" s="8">
        <f>Table1[[#This Row],[Population projection 2020]]*0.52</f>
        <v>196184.57648283127</v>
      </c>
      <c r="F82" s="8">
        <f>Table1[[#This Row],[Population projection 2020]]*0.08</f>
        <v>30182.242535820194</v>
      </c>
      <c r="G82" s="8">
        <f>Table1[[#This Row],[Population projection 2020]]*0.15</f>
        <v>56591.70475466286</v>
      </c>
      <c r="H82" s="8">
        <f>Table1[[#This Row],[Population projection 2020]]*0.54</f>
        <v>203730.13711678633</v>
      </c>
      <c r="I82" s="8">
        <f>Table1[[#This Row],[Female]]*0.47</f>
        <v>92206.750946930697</v>
      </c>
      <c r="J82" s="8">
        <f>Table1[[#This Row],[Male]]*0.46</f>
        <v>83302.989398863734</v>
      </c>
      <c r="K82" s="8">
        <f>Table1[[#This Row],[Population projection 2020]]*0.04</f>
        <v>15091.121267910097</v>
      </c>
      <c r="L82" s="55">
        <f>SUM(Table1[[#This Row],[IDPs / Migrants Male]:[IDPs / Migrants Female]])</f>
        <v>0</v>
      </c>
      <c r="M82" s="8"/>
      <c r="N82" s="8"/>
      <c r="O82" s="8"/>
      <c r="P82" s="8"/>
      <c r="Q82" s="8"/>
      <c r="R82" s="8"/>
      <c r="S82" s="8">
        <f>Table1[[#This Row],[Population projection 2020]]*0.07</f>
        <v>26409.462218842673</v>
      </c>
    </row>
    <row r="83" spans="1:19" x14ac:dyDescent="0.2">
      <c r="A83" s="3" t="s">
        <v>66</v>
      </c>
      <c r="B83" s="3" t="s">
        <v>75</v>
      </c>
      <c r="C83" s="8">
        <v>29658.756967592006</v>
      </c>
      <c r="D83" s="8">
        <f>Table1[[#This Row],[Population projection 2020]]*0.48</f>
        <v>14236.203344444162</v>
      </c>
      <c r="E83" s="8">
        <f>Table1[[#This Row],[Population projection 2020]]*0.52</f>
        <v>15422.553623147844</v>
      </c>
      <c r="F83" s="8">
        <f>Table1[[#This Row],[Population projection 2020]]*0.08</f>
        <v>2372.7005574073605</v>
      </c>
      <c r="G83" s="8">
        <f>Table1[[#This Row],[Population projection 2020]]*0.15</f>
        <v>4448.8135451388007</v>
      </c>
      <c r="H83" s="8">
        <f>Table1[[#This Row],[Population projection 2020]]*0.54</f>
        <v>16015.728762499684</v>
      </c>
      <c r="I83" s="8">
        <f>Table1[[#This Row],[Female]]*0.47</f>
        <v>7248.6002028794865</v>
      </c>
      <c r="J83" s="8">
        <f>Table1[[#This Row],[Male]]*0.46</f>
        <v>6548.653538444315</v>
      </c>
      <c r="K83" s="8">
        <f>Table1[[#This Row],[Population projection 2020]]*0.04</f>
        <v>1186.3502787036803</v>
      </c>
      <c r="L83" s="55">
        <f>SUM(Table1[[#This Row],[IDPs / Migrants Male]:[IDPs / Migrants Female]])</f>
        <v>0</v>
      </c>
      <c r="M83" s="8"/>
      <c r="N83" s="8"/>
      <c r="O83" s="8"/>
      <c r="P83" s="8"/>
      <c r="Q83" s="8"/>
      <c r="R83" s="8"/>
      <c r="S83" s="8">
        <f>Table1[[#This Row],[Population projection 2020]]*0.07</f>
        <v>2076.1129877314406</v>
      </c>
    </row>
    <row r="84" spans="1:19" x14ac:dyDescent="0.2">
      <c r="A84" s="3" t="s">
        <v>66</v>
      </c>
      <c r="B84" s="3" t="s">
        <v>69</v>
      </c>
      <c r="C84" s="8">
        <v>113197.46579224875</v>
      </c>
      <c r="D84" s="8">
        <f>Table1[[#This Row],[Population projection 2020]]*0.48</f>
        <v>54334.7835802794</v>
      </c>
      <c r="E84" s="8">
        <f>Table1[[#This Row],[Population projection 2020]]*0.52</f>
        <v>58862.682211969353</v>
      </c>
      <c r="F84" s="8">
        <f>Table1[[#This Row],[Population projection 2020]]*0.08</f>
        <v>9055.7972633799</v>
      </c>
      <c r="G84" s="8">
        <f>Table1[[#This Row],[Population projection 2020]]*0.15</f>
        <v>16979.619868837312</v>
      </c>
      <c r="H84" s="8">
        <f>Table1[[#This Row],[Population projection 2020]]*0.54</f>
        <v>61126.63152781433</v>
      </c>
      <c r="I84" s="8">
        <f>Table1[[#This Row],[Female]]*0.47</f>
        <v>27665.460639625595</v>
      </c>
      <c r="J84" s="8">
        <f>Table1[[#This Row],[Male]]*0.46</f>
        <v>24994.000446928523</v>
      </c>
      <c r="K84" s="8">
        <f>Table1[[#This Row],[Population projection 2020]]*0.04</f>
        <v>4527.89863168995</v>
      </c>
      <c r="L84" s="55">
        <f>SUM(Table1[[#This Row],[IDPs / Migrants Male]:[IDPs / Migrants Female]])</f>
        <v>0</v>
      </c>
      <c r="M84" s="8"/>
      <c r="N84" s="8"/>
      <c r="O84" s="8"/>
      <c r="P84" s="8"/>
      <c r="Q84" s="8"/>
      <c r="R84" s="8"/>
      <c r="S84" s="8">
        <f>Table1[[#This Row],[Population projection 2020]]*0.07</f>
        <v>7923.8226054574134</v>
      </c>
    </row>
    <row r="85" spans="1:19" x14ac:dyDescent="0.2">
      <c r="A85" s="3" t="s">
        <v>66</v>
      </c>
      <c r="B85" s="3" t="s">
        <v>71</v>
      </c>
      <c r="C85" s="8">
        <v>194648.69330210824</v>
      </c>
      <c r="D85" s="8">
        <f>Table1[[#This Row],[Population projection 2020]]*0.48</f>
        <v>93431.372785011947</v>
      </c>
      <c r="E85" s="8">
        <f>Table1[[#This Row],[Population projection 2020]]*0.52</f>
        <v>101217.32051709629</v>
      </c>
      <c r="F85" s="8">
        <f>Table1[[#This Row],[Population projection 2020]]*0.08</f>
        <v>15571.89546416866</v>
      </c>
      <c r="G85" s="8">
        <f>Table1[[#This Row],[Population projection 2020]]*0.15</f>
        <v>29197.303995316233</v>
      </c>
      <c r="H85" s="8">
        <f>Table1[[#This Row],[Population projection 2020]]*0.54</f>
        <v>105110.29438313846</v>
      </c>
      <c r="I85" s="8">
        <f>Table1[[#This Row],[Female]]*0.47</f>
        <v>47572.140643035251</v>
      </c>
      <c r="J85" s="8">
        <f>Table1[[#This Row],[Male]]*0.46</f>
        <v>42978.431481105494</v>
      </c>
      <c r="K85" s="8">
        <f>Table1[[#This Row],[Population projection 2020]]*0.04</f>
        <v>7785.9477320843298</v>
      </c>
      <c r="L85" s="55">
        <f>SUM(Table1[[#This Row],[IDPs / Migrants Male]:[IDPs / Migrants Female]])</f>
        <v>0</v>
      </c>
      <c r="M85" s="8"/>
      <c r="N85" s="8"/>
      <c r="O85" s="8"/>
      <c r="P85" s="8"/>
      <c r="Q85" s="8"/>
      <c r="R85" s="8"/>
      <c r="S85" s="8">
        <f>Table1[[#This Row],[Population projection 2020]]*0.07</f>
        <v>13625.408531147577</v>
      </c>
    </row>
    <row r="86" spans="1:19" x14ac:dyDescent="0.2">
      <c r="A86" s="3" t="s">
        <v>66</v>
      </c>
      <c r="B86" s="3" t="s">
        <v>95</v>
      </c>
      <c r="C86" s="8">
        <v>215439.66195545223</v>
      </c>
      <c r="D86" s="8">
        <f>Table1[[#This Row],[Population projection 2020]]*0.48</f>
        <v>103411.03773861707</v>
      </c>
      <c r="E86" s="8">
        <f>Table1[[#This Row],[Population projection 2020]]*0.52</f>
        <v>112028.62421683516</v>
      </c>
      <c r="F86" s="8">
        <f>Table1[[#This Row],[Population projection 2020]]*0.08</f>
        <v>17235.172956436178</v>
      </c>
      <c r="G86" s="8">
        <f>Table1[[#This Row],[Population projection 2020]]*0.15</f>
        <v>32315.949293317834</v>
      </c>
      <c r="H86" s="8">
        <f>Table1[[#This Row],[Population projection 2020]]*0.54</f>
        <v>116337.41745594422</v>
      </c>
      <c r="I86" s="8">
        <f>Table1[[#This Row],[Female]]*0.47</f>
        <v>52653.453381912521</v>
      </c>
      <c r="J86" s="8">
        <f>Table1[[#This Row],[Male]]*0.46</f>
        <v>47569.077359763854</v>
      </c>
      <c r="K86" s="8">
        <f>Table1[[#This Row],[Population projection 2020]]*0.04</f>
        <v>8617.5864782180888</v>
      </c>
      <c r="L86" s="55">
        <f>SUM(Table1[[#This Row],[IDPs / Migrants Male]:[IDPs / Migrants Female]])</f>
        <v>0</v>
      </c>
      <c r="M86" s="8"/>
      <c r="N86" s="8"/>
      <c r="O86" s="8"/>
      <c r="P86" s="8"/>
      <c r="Q86" s="8"/>
      <c r="R86" s="8"/>
      <c r="S86" s="8">
        <f>Table1[[#This Row],[Population projection 2020]]*0.07</f>
        <v>15080.776336881658</v>
      </c>
    </row>
    <row r="87" spans="1:19" x14ac:dyDescent="0.2">
      <c r="A87" s="3" t="s">
        <v>66</v>
      </c>
      <c r="B87" s="3" t="s">
        <v>72</v>
      </c>
      <c r="C87" s="8">
        <v>124410.43394154956</v>
      </c>
      <c r="D87" s="8">
        <f>Table1[[#This Row],[Population projection 2020]]*0.48</f>
        <v>59717.008291943785</v>
      </c>
      <c r="E87" s="8">
        <f>Table1[[#This Row],[Population projection 2020]]*0.52</f>
        <v>64693.425649605779</v>
      </c>
      <c r="F87" s="8">
        <f>Table1[[#This Row],[Population projection 2020]]*0.08</f>
        <v>9952.8347153239647</v>
      </c>
      <c r="G87" s="8">
        <f>Table1[[#This Row],[Population projection 2020]]*0.15</f>
        <v>18661.565091232434</v>
      </c>
      <c r="H87" s="8">
        <f>Table1[[#This Row],[Population projection 2020]]*0.54</f>
        <v>67181.634328436776</v>
      </c>
      <c r="I87" s="8">
        <f>Table1[[#This Row],[Female]]*0.47</f>
        <v>30405.910055314715</v>
      </c>
      <c r="J87" s="8">
        <f>Table1[[#This Row],[Male]]*0.46</f>
        <v>27469.823814294141</v>
      </c>
      <c r="K87" s="8">
        <f>Table1[[#This Row],[Population projection 2020]]*0.04</f>
        <v>4976.4173576619824</v>
      </c>
      <c r="L87" s="55">
        <f>SUM(Table1[[#This Row],[IDPs / Migrants Male]:[IDPs / Migrants Female]])</f>
        <v>0</v>
      </c>
      <c r="M87" s="8"/>
      <c r="N87" s="8"/>
      <c r="O87" s="8"/>
      <c r="P87" s="8"/>
      <c r="Q87" s="8"/>
      <c r="R87" s="8"/>
      <c r="S87" s="8">
        <f>Table1[[#This Row],[Population projection 2020]]*0.07</f>
        <v>8708.7303759084698</v>
      </c>
    </row>
    <row r="88" spans="1:19" x14ac:dyDescent="0.2">
      <c r="A88" s="3" t="s">
        <v>66</v>
      </c>
      <c r="B88" s="3" t="s">
        <v>70</v>
      </c>
      <c r="C88" s="8">
        <v>229039.73218712016</v>
      </c>
      <c r="D88" s="8">
        <f>Table1[[#This Row],[Population projection 2020]]*0.48</f>
        <v>109939.07144981767</v>
      </c>
      <c r="E88" s="8">
        <f>Table1[[#This Row],[Population projection 2020]]*0.52</f>
        <v>119100.66073730249</v>
      </c>
      <c r="F88" s="8">
        <f>Table1[[#This Row],[Population projection 2020]]*0.08</f>
        <v>18323.178574969614</v>
      </c>
      <c r="G88" s="8">
        <f>Table1[[#This Row],[Population projection 2020]]*0.15</f>
        <v>34355.959828068022</v>
      </c>
      <c r="H88" s="8">
        <f>Table1[[#This Row],[Population projection 2020]]*0.54</f>
        <v>123681.4553810449</v>
      </c>
      <c r="I88" s="8">
        <f>Table1[[#This Row],[Female]]*0.47</f>
        <v>55977.310546532164</v>
      </c>
      <c r="J88" s="8">
        <f>Table1[[#This Row],[Male]]*0.46</f>
        <v>50571.972866916127</v>
      </c>
      <c r="K88" s="8">
        <f>Table1[[#This Row],[Population projection 2020]]*0.04</f>
        <v>9161.5892874848068</v>
      </c>
      <c r="L88" s="55">
        <f>SUM(Table1[[#This Row],[IDPs / Migrants Male]:[IDPs / Migrants Female]])</f>
        <v>0</v>
      </c>
      <c r="M88" s="8"/>
      <c r="N88" s="8"/>
      <c r="O88" s="8"/>
      <c r="P88" s="8"/>
      <c r="Q88" s="8"/>
      <c r="R88" s="8"/>
      <c r="S88" s="8">
        <f>Table1[[#This Row],[Population projection 2020]]*0.07</f>
        <v>16032.781253098412</v>
      </c>
    </row>
    <row r="89" spans="1:19" x14ac:dyDescent="0.2">
      <c r="A89" s="3" t="s">
        <v>66</v>
      </c>
      <c r="B89" s="3" t="s">
        <v>73</v>
      </c>
      <c r="C89" s="8">
        <v>44300.718345747613</v>
      </c>
      <c r="D89" s="8">
        <f>Table1[[#This Row],[Population projection 2020]]*0.48</f>
        <v>21264.344805958852</v>
      </c>
      <c r="E89" s="8">
        <f>Table1[[#This Row],[Population projection 2020]]*0.52</f>
        <v>23036.373539788761</v>
      </c>
      <c r="F89" s="8">
        <f>Table1[[#This Row],[Population projection 2020]]*0.08</f>
        <v>3544.0574676598089</v>
      </c>
      <c r="G89" s="8">
        <f>Table1[[#This Row],[Population projection 2020]]*0.15</f>
        <v>6645.1077518621414</v>
      </c>
      <c r="H89" s="8">
        <f>Table1[[#This Row],[Population projection 2020]]*0.54</f>
        <v>23922.387906703712</v>
      </c>
      <c r="I89" s="8">
        <f>Table1[[#This Row],[Female]]*0.47</f>
        <v>10827.095563700717</v>
      </c>
      <c r="J89" s="8">
        <f>Table1[[#This Row],[Male]]*0.46</f>
        <v>9781.5986107410718</v>
      </c>
      <c r="K89" s="8">
        <f>Table1[[#This Row],[Population projection 2020]]*0.04</f>
        <v>1772.0287338299045</v>
      </c>
      <c r="L89" s="55">
        <f>SUM(Table1[[#This Row],[IDPs / Migrants Male]:[IDPs / Migrants Female]])</f>
        <v>0</v>
      </c>
      <c r="M89" s="8"/>
      <c r="N89" s="8"/>
      <c r="O89" s="8">
        <v>1746</v>
      </c>
      <c r="P89" s="8">
        <v>1019</v>
      </c>
      <c r="Q89" s="8">
        <v>726</v>
      </c>
      <c r="R89" s="8"/>
      <c r="S89" s="8">
        <f>Table1[[#This Row],[Population projection 2020]]*0.07</f>
        <v>3101.0502842023334</v>
      </c>
    </row>
    <row r="90" spans="1:19" x14ac:dyDescent="0.2">
      <c r="A90" s="3" t="s">
        <v>66</v>
      </c>
      <c r="B90" s="3" t="s">
        <v>94</v>
      </c>
      <c r="C90" s="8">
        <v>95644.374240297329</v>
      </c>
      <c r="D90" s="8">
        <f>Table1[[#This Row],[Population projection 2020]]*0.48</f>
        <v>45909.299635342715</v>
      </c>
      <c r="E90" s="8">
        <f>Table1[[#This Row],[Population projection 2020]]*0.52</f>
        <v>49735.074604954614</v>
      </c>
      <c r="F90" s="8">
        <f>Table1[[#This Row],[Population projection 2020]]*0.08</f>
        <v>7651.5499392237862</v>
      </c>
      <c r="G90" s="8">
        <f>Table1[[#This Row],[Population projection 2020]]*0.15</f>
        <v>14346.656136044599</v>
      </c>
      <c r="H90" s="8">
        <f>Table1[[#This Row],[Population projection 2020]]*0.54</f>
        <v>51647.962089760564</v>
      </c>
      <c r="I90" s="8">
        <f>Table1[[#This Row],[Female]]*0.47</f>
        <v>23375.485064328666</v>
      </c>
      <c r="J90" s="8">
        <f>Table1[[#This Row],[Male]]*0.46</f>
        <v>21118.277832257649</v>
      </c>
      <c r="K90" s="8">
        <f>Table1[[#This Row],[Population projection 2020]]*0.04</f>
        <v>3825.7749696118931</v>
      </c>
      <c r="L90" s="55">
        <f>SUM(Table1[[#This Row],[IDPs / Migrants Male]:[IDPs / Migrants Female]])</f>
        <v>0</v>
      </c>
      <c r="M90" s="8"/>
      <c r="N90" s="8"/>
      <c r="O90" s="8"/>
      <c r="P90" s="8"/>
      <c r="Q90" s="8"/>
      <c r="R90" s="8"/>
      <c r="S90" s="8">
        <f>Table1[[#This Row],[Population projection 2020]]*0.07</f>
        <v>6695.1061968208141</v>
      </c>
    </row>
    <row r="91" spans="1:19" x14ac:dyDescent="0.2">
      <c r="A91" s="3" t="s">
        <v>66</v>
      </c>
      <c r="B91" s="3" t="s">
        <v>74</v>
      </c>
      <c r="C91" s="8">
        <v>27009.024335873572</v>
      </c>
      <c r="D91" s="8">
        <f>Table1[[#This Row],[Population projection 2020]]*0.48</f>
        <v>12964.331681219313</v>
      </c>
      <c r="E91" s="8">
        <f>Table1[[#This Row],[Population projection 2020]]*0.52</f>
        <v>14044.692654654258</v>
      </c>
      <c r="F91" s="8">
        <f>Table1[[#This Row],[Population projection 2020]]*0.08</f>
        <v>2160.7219468698859</v>
      </c>
      <c r="G91" s="8">
        <f>Table1[[#This Row],[Population projection 2020]]*0.15</f>
        <v>4051.3536503810355</v>
      </c>
      <c r="H91" s="8">
        <f>Table1[[#This Row],[Population projection 2020]]*0.54</f>
        <v>14584.873141371729</v>
      </c>
      <c r="I91" s="8">
        <f>Table1[[#This Row],[Female]]*0.47</f>
        <v>6601.0055476875013</v>
      </c>
      <c r="J91" s="8">
        <f>Table1[[#This Row],[Male]]*0.46</f>
        <v>5963.5925733608847</v>
      </c>
      <c r="K91" s="8">
        <f>Table1[[#This Row],[Population projection 2020]]*0.04</f>
        <v>1080.3609734349429</v>
      </c>
      <c r="L91" s="55">
        <f>SUM(Table1[[#This Row],[IDPs / Migrants Male]:[IDPs / Migrants Female]])</f>
        <v>0</v>
      </c>
      <c r="M91" s="8"/>
      <c r="N91" s="8"/>
      <c r="O91" s="8"/>
      <c r="P91" s="8"/>
      <c r="Q91" s="8"/>
      <c r="R91" s="8"/>
      <c r="S91" s="8">
        <f>Table1[[#This Row],[Population projection 2020]]*0.07</f>
        <v>1890.6317035111501</v>
      </c>
    </row>
    <row r="92" spans="1:19" x14ac:dyDescent="0.2">
      <c r="A92" s="3" t="s">
        <v>66</v>
      </c>
      <c r="B92" s="3" t="s">
        <v>93</v>
      </c>
      <c r="C92" s="8">
        <v>89409.056455932441</v>
      </c>
      <c r="D92" s="8">
        <f>Table1[[#This Row],[Population projection 2020]]*0.48</f>
        <v>42916.347098847567</v>
      </c>
      <c r="E92" s="8">
        <f>Table1[[#This Row],[Population projection 2020]]*0.52</f>
        <v>46492.709357084874</v>
      </c>
      <c r="F92" s="8">
        <f>Table1[[#This Row],[Population projection 2020]]*0.08</f>
        <v>7152.7245164745955</v>
      </c>
      <c r="G92" s="8">
        <f>Table1[[#This Row],[Population projection 2020]]*0.15</f>
        <v>13411.358468389866</v>
      </c>
      <c r="H92" s="8">
        <f>Table1[[#This Row],[Population projection 2020]]*0.54</f>
        <v>48280.89048620352</v>
      </c>
      <c r="I92" s="8">
        <f>Table1[[#This Row],[Female]]*0.47</f>
        <v>21851.573397829889</v>
      </c>
      <c r="J92" s="8">
        <f>Table1[[#This Row],[Male]]*0.46</f>
        <v>19741.519665469881</v>
      </c>
      <c r="K92" s="8">
        <f>Table1[[#This Row],[Population projection 2020]]*0.04</f>
        <v>3576.3622582372977</v>
      </c>
      <c r="L92" s="55">
        <f>SUM(Table1[[#This Row],[IDPs / Migrants Male]:[IDPs / Migrants Female]])</f>
        <v>0</v>
      </c>
      <c r="M92" s="8"/>
      <c r="N92" s="8"/>
      <c r="O92" s="8"/>
      <c r="P92" s="8"/>
      <c r="Q92" s="8"/>
      <c r="R92" s="8"/>
      <c r="S92" s="8">
        <f>Table1[[#This Row],[Population projection 2020]]*0.07</f>
        <v>6258.6339519152716</v>
      </c>
    </row>
    <row r="93" spans="1:19" x14ac:dyDescent="0.2">
      <c r="A93" s="5" t="s">
        <v>66</v>
      </c>
      <c r="B93" s="5" t="s">
        <v>92</v>
      </c>
      <c r="C93" s="8">
        <v>55768.919000756068</v>
      </c>
      <c r="D93" s="8">
        <f>Table1[[#This Row],[Population projection 2020]]*0.48</f>
        <v>26769.081120362913</v>
      </c>
      <c r="E93" s="8">
        <f>Table1[[#This Row],[Population projection 2020]]*0.52</f>
        <v>28999.837880393156</v>
      </c>
      <c r="F93" s="8">
        <f>Table1[[#This Row],[Population projection 2020]]*0.08</f>
        <v>4461.5135200604855</v>
      </c>
      <c r="G93" s="8">
        <f>Table1[[#This Row],[Population projection 2020]]*0.15</f>
        <v>8365.3378501134102</v>
      </c>
      <c r="H93" s="8">
        <f>Table1[[#This Row],[Population projection 2020]]*0.54</f>
        <v>30115.216260408281</v>
      </c>
      <c r="I93" s="8">
        <f>Table1[[#This Row],[Female]]*0.47</f>
        <v>13629.923803784783</v>
      </c>
      <c r="J93" s="8">
        <f>Table1[[#This Row],[Male]]*0.46</f>
        <v>12313.77731536694</v>
      </c>
      <c r="K93" s="8">
        <f>Table1[[#This Row],[Population projection 2020]]*0.04</f>
        <v>2230.7567600302427</v>
      </c>
      <c r="L93" s="55">
        <f>SUM(Table1[[#This Row],[IDPs / Migrants Male]:[IDPs / Migrants Female]])</f>
        <v>0</v>
      </c>
      <c r="M93" s="8"/>
      <c r="N93" s="8"/>
      <c r="O93" s="8"/>
      <c r="P93" s="8"/>
      <c r="Q93" s="8"/>
      <c r="R93" s="8"/>
      <c r="S93" s="8">
        <f>Table1[[#This Row],[Population projection 2020]]*0.07</f>
        <v>3903.8243300529252</v>
      </c>
    </row>
    <row r="94" spans="1:19" x14ac:dyDescent="0.2">
      <c r="A94" s="9"/>
      <c r="B94" s="10"/>
      <c r="C94" s="13">
        <f>SUM(Table1[Population projection 2020])</f>
        <v>16152763.999999994</v>
      </c>
      <c r="D94" s="13">
        <f>SUM(Table1[Male])</f>
        <v>7751800.0454221582</v>
      </c>
      <c r="E94" s="13">
        <f>SUM(Table1[Female])</f>
        <v>8400963.9545778409</v>
      </c>
      <c r="F94" s="13">
        <f>SUM(Table1[Children 6 - 23 months 2020 projection])</f>
        <v>1292221.1200000003</v>
      </c>
      <c r="G94" s="13">
        <f>SUM(Table1[Children &lt;5 2020 projection2])</f>
        <v>2432690.3945778413</v>
      </c>
      <c r="H94" s="13">
        <f>SUM(Table1[Children &lt;18  2020 Projection])</f>
        <v>8396742.3083113637</v>
      </c>
      <c r="I94" s="13">
        <f>SUM(Table1[Women and Girls (15-49 yrs) 2020 projection])</f>
        <v>4082592.886921301</v>
      </c>
      <c r="J94" s="13">
        <f>SUM(Table1[Men and Boys (15-49 yrs) 2020 projection])</f>
        <v>3714100.8775362652</v>
      </c>
      <c r="K94" s="13">
        <f>SUM(Table1[Elderly (65+) 
2020 projection])</f>
        <v>672426.3452000001</v>
      </c>
      <c r="L94" s="13">
        <f>SUM(Table1[Total IDPs / Migrants])</f>
        <v>33556</v>
      </c>
      <c r="M94" s="13">
        <f>SUM(Table1[IDPs / Migrants Male])</f>
        <v>13147</v>
      </c>
      <c r="N94" s="13">
        <f>SUM(Table1[IDPs / Migrants Female])</f>
        <v>20409</v>
      </c>
      <c r="O94" s="13">
        <f>SUM(Table1[Total Returnees / Migrants])</f>
        <v>20464</v>
      </c>
      <c r="P94" s="13">
        <f>SUM(Table1[Returnees / Migrants Male])</f>
        <v>11525</v>
      </c>
      <c r="Q94" s="13">
        <f>SUM(Table1[Returnees / Migrants Female])</f>
        <v>10383</v>
      </c>
      <c r="R94" s="13">
        <f>SUM(Table1[Refugees &amp; Asylum seekers])</f>
        <v>15405</v>
      </c>
      <c r="S94" s="13">
        <f>SUM(Table1[[People with Disability ]])</f>
        <v>1130693.4800000002</v>
      </c>
    </row>
    <row r="96" spans="1:19" x14ac:dyDescent="0.2">
      <c r="C96" s="62"/>
    </row>
  </sheetData>
  <sortState xmlns:xlrd2="http://schemas.microsoft.com/office/spreadsheetml/2017/richdata2" ref="A2:B93">
    <sortCondition ref="A2:A93"/>
    <sortCondition ref="B2:B93"/>
  </sortState>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8A6A3-65F1-473A-BDAD-40ED32C09CB3}">
  <sheetPr>
    <tabColor rgb="FF7030A0"/>
  </sheetPr>
  <dimension ref="B1:G109"/>
  <sheetViews>
    <sheetView showGridLines="0" zoomScaleNormal="100" workbookViewId="0">
      <pane ySplit="1" topLeftCell="A2" activePane="bottomLeft" state="frozen"/>
      <selection pane="bottomLeft" activeCell="C21" sqref="C21"/>
    </sheetView>
  </sheetViews>
  <sheetFormatPr defaultRowHeight="15" x14ac:dyDescent="0.25"/>
  <cols>
    <col min="2" max="2" width="28.5703125" customWidth="1"/>
    <col min="3" max="3" width="124" customWidth="1"/>
  </cols>
  <sheetData>
    <row r="1" spans="2:3" ht="24.95" customHeight="1" x14ac:dyDescent="0.4">
      <c r="B1" s="329" t="s">
        <v>152</v>
      </c>
      <c r="C1" s="330"/>
    </row>
    <row r="2" spans="2:3" x14ac:dyDescent="0.25">
      <c r="B2" s="327" t="s">
        <v>323</v>
      </c>
      <c r="C2" s="328"/>
    </row>
    <row r="3" spans="2:3" x14ac:dyDescent="0.25">
      <c r="B3" s="100" t="s">
        <v>153</v>
      </c>
      <c r="C3" s="101" t="s">
        <v>331</v>
      </c>
    </row>
    <row r="4" spans="2:3" x14ac:dyDescent="0.25">
      <c r="B4" s="100" t="s">
        <v>154</v>
      </c>
      <c r="C4" s="101" t="s">
        <v>324</v>
      </c>
    </row>
    <row r="5" spans="2:3" ht="47.45" customHeight="1" x14ac:dyDescent="0.25">
      <c r="B5" s="100" t="s">
        <v>155</v>
      </c>
      <c r="C5" s="102" t="s">
        <v>325</v>
      </c>
    </row>
    <row r="6" spans="2:3" x14ac:dyDescent="0.25">
      <c r="B6" s="100"/>
      <c r="C6" s="101"/>
    </row>
    <row r="7" spans="2:3" x14ac:dyDescent="0.25">
      <c r="B7" s="100" t="s">
        <v>156</v>
      </c>
      <c r="C7" s="101" t="s">
        <v>237</v>
      </c>
    </row>
    <row r="8" spans="2:3" x14ac:dyDescent="0.25">
      <c r="B8" s="100" t="s">
        <v>154</v>
      </c>
      <c r="C8" s="101" t="s">
        <v>326</v>
      </c>
    </row>
    <row r="9" spans="2:3" x14ac:dyDescent="0.25">
      <c r="B9" s="100" t="s">
        <v>155</v>
      </c>
      <c r="C9" s="101" t="s">
        <v>327</v>
      </c>
    </row>
    <row r="10" spans="2:3" ht="45.95" customHeight="1" x14ac:dyDescent="0.25">
      <c r="B10" s="100"/>
      <c r="C10" s="102" t="s">
        <v>328</v>
      </c>
    </row>
    <row r="11" spans="2:3" x14ac:dyDescent="0.25">
      <c r="B11" s="100"/>
      <c r="C11" s="101"/>
    </row>
    <row r="12" spans="2:3" x14ac:dyDescent="0.25">
      <c r="B12" s="100" t="s">
        <v>157</v>
      </c>
      <c r="C12" s="101" t="s">
        <v>329</v>
      </c>
    </row>
    <row r="13" spans="2:3" x14ac:dyDescent="0.25">
      <c r="B13" s="100" t="s">
        <v>154</v>
      </c>
      <c r="C13" s="101" t="s">
        <v>326</v>
      </c>
    </row>
    <row r="14" spans="2:3" ht="45.95" customHeight="1" x14ac:dyDescent="0.25">
      <c r="B14" s="100" t="s">
        <v>155</v>
      </c>
      <c r="C14" s="102" t="s">
        <v>330</v>
      </c>
    </row>
    <row r="15" spans="2:3" x14ac:dyDescent="0.25">
      <c r="B15" s="100"/>
      <c r="C15" s="101"/>
    </row>
    <row r="16" spans="2:3" ht="63.75" x14ac:dyDescent="0.25">
      <c r="B16" s="111" t="s">
        <v>332</v>
      </c>
      <c r="C16" s="112" t="s">
        <v>333</v>
      </c>
    </row>
    <row r="17" spans="2:7" x14ac:dyDescent="0.25">
      <c r="B17" s="111" t="s">
        <v>334</v>
      </c>
      <c r="C17" s="113" t="s">
        <v>335</v>
      </c>
    </row>
    <row r="18" spans="2:7" x14ac:dyDescent="0.25">
      <c r="B18" s="100"/>
      <c r="C18" s="101"/>
    </row>
    <row r="19" spans="2:7" x14ac:dyDescent="0.25">
      <c r="B19" s="327" t="s">
        <v>254</v>
      </c>
      <c r="C19" s="328"/>
    </row>
    <row r="20" spans="2:7" x14ac:dyDescent="0.25">
      <c r="B20" s="100" t="s">
        <v>153</v>
      </c>
      <c r="C20" s="101" t="s">
        <v>256</v>
      </c>
    </row>
    <row r="21" spans="2:7" x14ac:dyDescent="0.25">
      <c r="B21" s="100" t="s">
        <v>154</v>
      </c>
      <c r="C21" s="101" t="s">
        <v>336</v>
      </c>
    </row>
    <row r="22" spans="2:7" ht="45" x14ac:dyDescent="0.25">
      <c r="B22" s="100" t="s">
        <v>155</v>
      </c>
      <c r="C22" s="102" t="s">
        <v>337</v>
      </c>
    </row>
    <row r="23" spans="2:7" x14ac:dyDescent="0.25">
      <c r="B23" s="100"/>
      <c r="C23" s="101"/>
    </row>
    <row r="24" spans="2:7" x14ac:dyDescent="0.25">
      <c r="B24" s="100" t="s">
        <v>156</v>
      </c>
      <c r="C24" s="101" t="s">
        <v>258</v>
      </c>
    </row>
    <row r="25" spans="2:7" x14ac:dyDescent="0.25">
      <c r="B25" s="100" t="s">
        <v>154</v>
      </c>
      <c r="C25" s="101" t="s">
        <v>338</v>
      </c>
    </row>
    <row r="26" spans="2:7" ht="30" x14ac:dyDescent="0.25">
      <c r="B26" s="100" t="s">
        <v>155</v>
      </c>
      <c r="C26" s="102" t="s">
        <v>339</v>
      </c>
    </row>
    <row r="27" spans="2:7" x14ac:dyDescent="0.25">
      <c r="B27" s="100"/>
      <c r="C27" s="101"/>
    </row>
    <row r="28" spans="2:7" x14ac:dyDescent="0.25">
      <c r="B28" s="103" t="s">
        <v>157</v>
      </c>
      <c r="C28" s="104" t="s">
        <v>260</v>
      </c>
    </row>
    <row r="29" spans="2:7" x14ac:dyDescent="0.25">
      <c r="B29" s="103" t="s">
        <v>154</v>
      </c>
      <c r="C29" s="101" t="s">
        <v>338</v>
      </c>
    </row>
    <row r="30" spans="2:7" ht="30" x14ac:dyDescent="0.25">
      <c r="B30" s="103" t="s">
        <v>155</v>
      </c>
      <c r="C30" s="105" t="s">
        <v>340</v>
      </c>
    </row>
    <row r="31" spans="2:7" x14ac:dyDescent="0.25">
      <c r="B31" s="100"/>
      <c r="C31" s="102"/>
      <c r="D31" s="99"/>
      <c r="E31" s="99"/>
      <c r="F31" s="99"/>
      <c r="G31" s="99"/>
    </row>
    <row r="32" spans="2:7" x14ac:dyDescent="0.25">
      <c r="B32" s="331" t="s">
        <v>209</v>
      </c>
      <c r="C32" s="332"/>
    </row>
    <row r="33" spans="2:3" x14ac:dyDescent="0.25">
      <c r="B33" s="100" t="s">
        <v>153</v>
      </c>
      <c r="C33" s="101"/>
    </row>
    <row r="34" spans="2:3" ht="46.5" customHeight="1" x14ac:dyDescent="0.25">
      <c r="B34" s="100" t="s">
        <v>353</v>
      </c>
      <c r="C34" s="102" t="s">
        <v>354</v>
      </c>
    </row>
    <row r="35" spans="2:3" x14ac:dyDescent="0.25">
      <c r="B35" s="100"/>
      <c r="C35" s="101"/>
    </row>
    <row r="36" spans="2:3" ht="45" x14ac:dyDescent="0.25">
      <c r="B36" s="100" t="s">
        <v>155</v>
      </c>
      <c r="C36" s="102" t="s">
        <v>341</v>
      </c>
    </row>
    <row r="37" spans="2:3" x14ac:dyDescent="0.25">
      <c r="B37" s="100"/>
      <c r="C37" s="101" t="s">
        <v>342</v>
      </c>
    </row>
    <row r="38" spans="2:3" ht="60" x14ac:dyDescent="0.25">
      <c r="B38" s="100"/>
      <c r="C38" s="102" t="s">
        <v>343</v>
      </c>
    </row>
    <row r="39" spans="2:3" x14ac:dyDescent="0.25">
      <c r="B39" s="100"/>
      <c r="C39" s="101" t="s">
        <v>344</v>
      </c>
    </row>
    <row r="40" spans="2:3" x14ac:dyDescent="0.25">
      <c r="B40" s="100"/>
      <c r="C40" s="101" t="s">
        <v>345</v>
      </c>
    </row>
    <row r="41" spans="2:3" x14ac:dyDescent="0.25">
      <c r="B41" s="100"/>
      <c r="C41" s="101" t="s">
        <v>346</v>
      </c>
    </row>
    <row r="42" spans="2:3" x14ac:dyDescent="0.25">
      <c r="B42" s="100"/>
      <c r="C42" s="101" t="s">
        <v>347</v>
      </c>
    </row>
    <row r="43" spans="2:3" x14ac:dyDescent="0.25">
      <c r="B43" s="100" t="s">
        <v>156</v>
      </c>
      <c r="C43" s="101"/>
    </row>
    <row r="44" spans="2:3" x14ac:dyDescent="0.25">
      <c r="B44" s="100" t="s">
        <v>353</v>
      </c>
      <c r="C44" s="101" t="s">
        <v>355</v>
      </c>
    </row>
    <row r="45" spans="2:3" x14ac:dyDescent="0.25">
      <c r="B45" s="100" t="s">
        <v>155</v>
      </c>
      <c r="C45" s="101" t="s">
        <v>348</v>
      </c>
    </row>
    <row r="46" spans="2:3" x14ac:dyDescent="0.25">
      <c r="B46" s="100" t="s">
        <v>360</v>
      </c>
      <c r="C46" s="102" t="s">
        <v>359</v>
      </c>
    </row>
    <row r="47" spans="2:3" x14ac:dyDescent="0.25">
      <c r="B47" s="100"/>
      <c r="C47" s="102" t="s">
        <v>358</v>
      </c>
    </row>
    <row r="48" spans="2:3" ht="30" x14ac:dyDescent="0.25">
      <c r="B48" s="100"/>
      <c r="C48" s="102" t="s">
        <v>357</v>
      </c>
    </row>
    <row r="49" spans="2:3" x14ac:dyDescent="0.25">
      <c r="B49" s="100"/>
      <c r="C49" s="106" t="s">
        <v>356</v>
      </c>
    </row>
    <row r="50" spans="2:3" ht="30" x14ac:dyDescent="0.25">
      <c r="B50" s="100"/>
      <c r="C50" s="102" t="s">
        <v>361</v>
      </c>
    </row>
    <row r="51" spans="2:3" x14ac:dyDescent="0.25">
      <c r="B51" s="100"/>
      <c r="C51" s="101" t="s">
        <v>349</v>
      </c>
    </row>
    <row r="52" spans="2:3" x14ac:dyDescent="0.25">
      <c r="B52" s="100"/>
      <c r="C52" s="101" t="s">
        <v>350</v>
      </c>
    </row>
    <row r="53" spans="2:3" x14ac:dyDescent="0.25">
      <c r="B53" s="100"/>
      <c r="C53" s="101" t="s">
        <v>351</v>
      </c>
    </row>
    <row r="54" spans="2:3" x14ac:dyDescent="0.25">
      <c r="B54" s="100"/>
      <c r="C54" s="101" t="s">
        <v>352</v>
      </c>
    </row>
    <row r="55" spans="2:3" x14ac:dyDescent="0.25">
      <c r="B55" s="100" t="s">
        <v>365</v>
      </c>
      <c r="C55" s="101" t="s">
        <v>364</v>
      </c>
    </row>
    <row r="56" spans="2:3" x14ac:dyDescent="0.25">
      <c r="B56" s="100" t="s">
        <v>363</v>
      </c>
      <c r="C56" s="101" t="s">
        <v>362</v>
      </c>
    </row>
    <row r="57" spans="2:3" x14ac:dyDescent="0.25">
      <c r="B57" s="100"/>
      <c r="C57" s="101"/>
    </row>
    <row r="58" spans="2:3" x14ac:dyDescent="0.25">
      <c r="B58" s="327" t="s">
        <v>270</v>
      </c>
      <c r="C58" s="328"/>
    </row>
    <row r="59" spans="2:3" x14ac:dyDescent="0.25">
      <c r="B59" s="100"/>
      <c r="C59" s="101"/>
    </row>
    <row r="60" spans="2:3" x14ac:dyDescent="0.25">
      <c r="B60" s="100"/>
      <c r="C60" s="101"/>
    </row>
    <row r="61" spans="2:3" x14ac:dyDescent="0.25">
      <c r="B61" s="327" t="s">
        <v>396</v>
      </c>
      <c r="C61" s="328"/>
    </row>
    <row r="62" spans="2:3" x14ac:dyDescent="0.25">
      <c r="B62" s="100" t="s">
        <v>368</v>
      </c>
      <c r="C62" s="101" t="s">
        <v>369</v>
      </c>
    </row>
    <row r="63" spans="2:3" x14ac:dyDescent="0.25">
      <c r="B63" s="100" t="s">
        <v>353</v>
      </c>
      <c r="C63" s="101" t="s">
        <v>574</v>
      </c>
    </row>
    <row r="64" spans="2:3" ht="61.5" customHeight="1" x14ac:dyDescent="0.25">
      <c r="B64" s="100" t="s">
        <v>367</v>
      </c>
      <c r="C64" s="102" t="s">
        <v>366</v>
      </c>
    </row>
    <row r="65" spans="2:3" x14ac:dyDescent="0.25">
      <c r="B65" s="100"/>
      <c r="C65" s="101"/>
    </row>
    <row r="66" spans="2:3" x14ac:dyDescent="0.25">
      <c r="B66" s="327" t="s">
        <v>218</v>
      </c>
      <c r="C66" s="328"/>
    </row>
    <row r="67" spans="2:3" x14ac:dyDescent="0.25">
      <c r="B67" s="100" t="s">
        <v>153</v>
      </c>
      <c r="C67" s="101" t="s">
        <v>389</v>
      </c>
    </row>
    <row r="68" spans="2:3" x14ac:dyDescent="0.25">
      <c r="B68" s="100" t="s">
        <v>154</v>
      </c>
      <c r="C68" s="101" t="s">
        <v>387</v>
      </c>
    </row>
    <row r="69" spans="2:3" x14ac:dyDescent="0.25">
      <c r="B69" s="100" t="s">
        <v>155</v>
      </c>
      <c r="C69" s="101" t="s">
        <v>370</v>
      </c>
    </row>
    <row r="70" spans="2:3" x14ac:dyDescent="0.25">
      <c r="B70" s="100"/>
      <c r="C70" s="101" t="s">
        <v>371</v>
      </c>
    </row>
    <row r="71" spans="2:3" x14ac:dyDescent="0.25">
      <c r="B71" s="100"/>
      <c r="C71" s="101" t="s">
        <v>372</v>
      </c>
    </row>
    <row r="72" spans="2:3" x14ac:dyDescent="0.25">
      <c r="B72" s="100"/>
      <c r="C72" s="101" t="s">
        <v>373</v>
      </c>
    </row>
    <row r="73" spans="2:3" x14ac:dyDescent="0.25">
      <c r="B73" s="100"/>
      <c r="C73" s="101" t="s">
        <v>374</v>
      </c>
    </row>
    <row r="74" spans="2:3" x14ac:dyDescent="0.25">
      <c r="B74" s="100"/>
      <c r="C74" s="101"/>
    </row>
    <row r="75" spans="2:3" x14ac:dyDescent="0.25">
      <c r="B75" s="100" t="s">
        <v>156</v>
      </c>
      <c r="C75" s="101" t="s">
        <v>388</v>
      </c>
    </row>
    <row r="76" spans="2:3" x14ac:dyDescent="0.25">
      <c r="B76" s="100" t="s">
        <v>154</v>
      </c>
      <c r="C76" s="101" t="s">
        <v>387</v>
      </c>
    </row>
    <row r="77" spans="2:3" x14ac:dyDescent="0.25">
      <c r="B77" s="100" t="s">
        <v>155</v>
      </c>
      <c r="C77" s="101" t="s">
        <v>375</v>
      </c>
    </row>
    <row r="78" spans="2:3" x14ac:dyDescent="0.25">
      <c r="B78" s="100"/>
      <c r="C78" s="101" t="s">
        <v>376</v>
      </c>
    </row>
    <row r="79" spans="2:3" x14ac:dyDescent="0.25">
      <c r="B79" s="100"/>
      <c r="C79" s="101" t="s">
        <v>377</v>
      </c>
    </row>
    <row r="80" spans="2:3" x14ac:dyDescent="0.25">
      <c r="B80" s="100"/>
      <c r="C80" s="101" t="s">
        <v>378</v>
      </c>
    </row>
    <row r="81" spans="2:3" x14ac:dyDescent="0.25">
      <c r="B81" s="100"/>
      <c r="C81" s="101"/>
    </row>
    <row r="82" spans="2:3" x14ac:dyDescent="0.25">
      <c r="B82" s="100" t="s">
        <v>157</v>
      </c>
      <c r="C82" s="101" t="s">
        <v>390</v>
      </c>
    </row>
    <row r="83" spans="2:3" x14ac:dyDescent="0.25">
      <c r="B83" s="100" t="s">
        <v>154</v>
      </c>
      <c r="C83" s="101" t="s">
        <v>379</v>
      </c>
    </row>
    <row r="84" spans="2:3" x14ac:dyDescent="0.25">
      <c r="B84" s="100" t="s">
        <v>155</v>
      </c>
      <c r="C84" s="101" t="s">
        <v>380</v>
      </c>
    </row>
    <row r="85" spans="2:3" x14ac:dyDescent="0.25">
      <c r="B85" s="100"/>
      <c r="C85" s="101" t="s">
        <v>381</v>
      </c>
    </row>
    <row r="86" spans="2:3" ht="30" x14ac:dyDescent="0.25">
      <c r="B86" s="100"/>
      <c r="C86" s="102" t="s">
        <v>382</v>
      </c>
    </row>
    <row r="87" spans="2:3" x14ac:dyDescent="0.25">
      <c r="B87" s="100"/>
      <c r="C87" s="101"/>
    </row>
    <row r="88" spans="2:3" x14ac:dyDescent="0.25">
      <c r="B88" s="100" t="s">
        <v>383</v>
      </c>
      <c r="C88" s="107">
        <v>395493</v>
      </c>
    </row>
    <row r="89" spans="2:3" x14ac:dyDescent="0.25">
      <c r="B89" s="100" t="s">
        <v>155</v>
      </c>
      <c r="C89" s="101" t="s">
        <v>384</v>
      </c>
    </row>
    <row r="90" spans="2:3" x14ac:dyDescent="0.25">
      <c r="B90" s="100"/>
      <c r="C90" s="101" t="s">
        <v>385</v>
      </c>
    </row>
    <row r="91" spans="2:3" x14ac:dyDescent="0.25">
      <c r="B91" s="100"/>
      <c r="C91" s="101" t="s">
        <v>386</v>
      </c>
    </row>
    <row r="92" spans="2:3" x14ac:dyDescent="0.25">
      <c r="B92" s="100"/>
      <c r="C92" s="101"/>
    </row>
    <row r="93" spans="2:3" x14ac:dyDescent="0.25">
      <c r="B93" s="327" t="s">
        <v>239</v>
      </c>
      <c r="C93" s="328"/>
    </row>
    <row r="94" spans="2:3" ht="30" x14ac:dyDescent="0.25">
      <c r="B94" s="100" t="s">
        <v>156</v>
      </c>
      <c r="C94" s="102" t="s">
        <v>241</v>
      </c>
    </row>
    <row r="95" spans="2:3" x14ac:dyDescent="0.25">
      <c r="B95" s="100" t="s">
        <v>154</v>
      </c>
      <c r="C95" s="101" t="s">
        <v>391</v>
      </c>
    </row>
    <row r="96" spans="2:3" x14ac:dyDescent="0.25">
      <c r="B96" s="100" t="s">
        <v>155</v>
      </c>
      <c r="C96" s="101" t="s">
        <v>395</v>
      </c>
    </row>
    <row r="97" spans="2:3" x14ac:dyDescent="0.25">
      <c r="B97" s="100"/>
      <c r="C97" s="101"/>
    </row>
    <row r="98" spans="2:3" x14ac:dyDescent="0.25">
      <c r="B98" s="100" t="s">
        <v>157</v>
      </c>
      <c r="C98" s="101" t="s">
        <v>248</v>
      </c>
    </row>
    <row r="99" spans="2:3" x14ac:dyDescent="0.25">
      <c r="B99" s="100" t="s">
        <v>154</v>
      </c>
      <c r="C99" s="101" t="s">
        <v>392</v>
      </c>
    </row>
    <row r="100" spans="2:3" x14ac:dyDescent="0.25">
      <c r="B100" s="100" t="s">
        <v>155</v>
      </c>
      <c r="C100" s="101" t="s">
        <v>395</v>
      </c>
    </row>
    <row r="101" spans="2:3" x14ac:dyDescent="0.25">
      <c r="B101" s="100"/>
      <c r="C101" s="101"/>
    </row>
    <row r="102" spans="2:3" ht="45" x14ac:dyDescent="0.25">
      <c r="B102" s="100" t="s">
        <v>393</v>
      </c>
      <c r="C102" s="115" t="s">
        <v>394</v>
      </c>
    </row>
    <row r="103" spans="2:3" ht="15.75" thickBot="1" x14ac:dyDescent="0.3">
      <c r="B103" s="108"/>
      <c r="C103" s="109"/>
    </row>
    <row r="104" spans="2:3" x14ac:dyDescent="0.25">
      <c r="B104" s="196"/>
      <c r="C104" s="197"/>
    </row>
    <row r="105" spans="2:3" ht="15.75" x14ac:dyDescent="0.25">
      <c r="B105" s="325" t="s">
        <v>261</v>
      </c>
      <c r="C105" s="326"/>
    </row>
    <row r="106" spans="2:3" x14ac:dyDescent="0.25">
      <c r="B106" s="100" t="s">
        <v>153</v>
      </c>
      <c r="C106" s="101" t="s">
        <v>638</v>
      </c>
    </row>
    <row r="107" spans="2:3" x14ac:dyDescent="0.25">
      <c r="B107" s="100" t="s">
        <v>154</v>
      </c>
      <c r="C107" s="101" t="s">
        <v>464</v>
      </c>
    </row>
    <row r="108" spans="2:3" x14ac:dyDescent="0.25">
      <c r="B108" s="100" t="s">
        <v>155</v>
      </c>
      <c r="C108" s="101" t="s">
        <v>465</v>
      </c>
    </row>
    <row r="109" spans="2:3" x14ac:dyDescent="0.25">
      <c r="B109" s="100"/>
      <c r="C109" s="101"/>
    </row>
  </sheetData>
  <mergeCells count="9">
    <mergeCell ref="B105:C105"/>
    <mergeCell ref="B61:C61"/>
    <mergeCell ref="B66:C66"/>
    <mergeCell ref="B93:C93"/>
    <mergeCell ref="B1:C1"/>
    <mergeCell ref="B2:C2"/>
    <mergeCell ref="B19:C19"/>
    <mergeCell ref="B32:C32"/>
    <mergeCell ref="B58:C5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1B9CB-0BAA-49C1-A557-E7938557A124}">
  <sheetPr>
    <tabColor rgb="FFFF0000"/>
  </sheetPr>
  <dimension ref="A1:AN98"/>
  <sheetViews>
    <sheetView showGridLines="0" zoomScaleNormal="100" workbookViewId="0">
      <pane xSplit="2" ySplit="2" topLeftCell="C3" activePane="bottomRight" state="frozen"/>
      <selection pane="topRight" activeCell="D1" sqref="D1"/>
      <selection pane="bottomLeft" activeCell="A3" sqref="A3"/>
      <selection pane="bottomRight" activeCell="K11" sqref="K11"/>
    </sheetView>
  </sheetViews>
  <sheetFormatPr defaultColWidth="15.5703125" defaultRowHeight="12.75" x14ac:dyDescent="0.2"/>
  <cols>
    <col min="1" max="1" width="21.5703125" style="2" customWidth="1"/>
    <col min="2" max="2" width="16" style="2" customWidth="1"/>
    <col min="3" max="10" width="8.42578125" style="4" customWidth="1"/>
    <col min="11" max="11" width="11.7109375" style="4" customWidth="1"/>
    <col min="12" max="14" width="8.42578125" style="4" customWidth="1"/>
    <col min="15" max="19" width="10.7109375" style="4" customWidth="1"/>
    <col min="20" max="20" width="8.42578125" style="4" customWidth="1"/>
    <col min="21" max="21" width="10.42578125" style="4" customWidth="1"/>
    <col min="22" max="22" width="11.85546875" style="4" customWidth="1"/>
    <col min="23" max="23" width="13.5703125" style="4" customWidth="1"/>
    <col min="24" max="26" width="6.28515625" style="4" customWidth="1"/>
    <col min="27" max="27" width="2" style="63" customWidth="1"/>
    <col min="28" max="28" width="14.140625" style="4" customWidth="1"/>
    <col min="29" max="29" width="11" style="4" customWidth="1"/>
    <col min="30" max="30" width="1.85546875" style="63" customWidth="1"/>
    <col min="31" max="31" width="12.42578125" style="4" customWidth="1"/>
    <col min="32" max="32" width="12.5703125" style="4" customWidth="1"/>
    <col min="33" max="33" width="11" style="4" customWidth="1"/>
    <col min="34" max="34" width="9.42578125" style="4" customWidth="1"/>
    <col min="35" max="35" width="9.5703125" style="4" customWidth="1"/>
    <col min="36" max="36" width="13" style="4" customWidth="1"/>
    <col min="37" max="37" width="12.7109375" style="4" customWidth="1"/>
    <col min="38" max="38" width="13" style="4" customWidth="1"/>
    <col min="39" max="39" width="8.7109375" style="4" customWidth="1"/>
    <col min="40" max="40" width="2.140625" style="63" customWidth="1"/>
    <col min="41" max="16384" width="15.5703125" style="4"/>
  </cols>
  <sheetData>
    <row r="1" spans="1:40" ht="36.6" customHeight="1" x14ac:dyDescent="0.35">
      <c r="C1" s="334" t="s">
        <v>201</v>
      </c>
      <c r="D1" s="334"/>
      <c r="E1" s="334" t="s">
        <v>323</v>
      </c>
      <c r="F1" s="334"/>
      <c r="G1" s="334"/>
      <c r="H1" s="334" t="s">
        <v>254</v>
      </c>
      <c r="I1" s="334"/>
      <c r="J1" s="334"/>
      <c r="K1" s="200" t="s">
        <v>261</v>
      </c>
      <c r="L1" s="333" t="s">
        <v>470</v>
      </c>
      <c r="M1" s="333"/>
      <c r="N1" s="333" t="s">
        <v>270</v>
      </c>
      <c r="O1" s="333"/>
      <c r="P1" s="333"/>
      <c r="Q1" s="333" t="s">
        <v>218</v>
      </c>
      <c r="R1" s="333"/>
      <c r="S1" s="333"/>
      <c r="T1" s="334" t="s">
        <v>468</v>
      </c>
      <c r="U1" s="334"/>
      <c r="V1" s="334" t="s">
        <v>239</v>
      </c>
      <c r="W1" s="334"/>
      <c r="X1" s="322" t="s">
        <v>469</v>
      </c>
      <c r="Y1" s="322"/>
      <c r="Z1" s="322"/>
      <c r="AA1" s="193"/>
      <c r="AB1" s="80" t="s">
        <v>295</v>
      </c>
    </row>
    <row r="2" spans="1:40" s="1" customFormat="1" ht="103.5" customHeight="1" x14ac:dyDescent="0.25">
      <c r="A2" s="87" t="s">
        <v>0</v>
      </c>
      <c r="B2" s="87" t="s">
        <v>1</v>
      </c>
      <c r="C2" s="94" t="s">
        <v>203</v>
      </c>
      <c r="D2" s="94" t="s">
        <v>206</v>
      </c>
      <c r="E2" s="92" t="s">
        <v>235</v>
      </c>
      <c r="F2" s="94" t="s">
        <v>237</v>
      </c>
      <c r="G2" s="94" t="s">
        <v>238</v>
      </c>
      <c r="H2" s="94" t="s">
        <v>256</v>
      </c>
      <c r="I2" s="94" t="s">
        <v>258</v>
      </c>
      <c r="J2" s="94" t="s">
        <v>260</v>
      </c>
      <c r="K2" s="93" t="s">
        <v>479</v>
      </c>
      <c r="L2" s="92" t="s">
        <v>212</v>
      </c>
      <c r="M2" s="94" t="s">
        <v>210</v>
      </c>
      <c r="N2" s="93" t="s">
        <v>283</v>
      </c>
      <c r="O2" s="93" t="s">
        <v>466</v>
      </c>
      <c r="P2" s="94" t="s">
        <v>315</v>
      </c>
      <c r="Q2" s="92" t="s">
        <v>473</v>
      </c>
      <c r="R2" s="94" t="s">
        <v>474</v>
      </c>
      <c r="S2" s="94" t="s">
        <v>472</v>
      </c>
      <c r="T2" s="94" t="s">
        <v>195</v>
      </c>
      <c r="U2" s="94" t="s">
        <v>294</v>
      </c>
      <c r="V2" s="92" t="s">
        <v>309</v>
      </c>
      <c r="W2" s="94" t="s">
        <v>241</v>
      </c>
      <c r="X2" s="98" t="s">
        <v>318</v>
      </c>
      <c r="Y2" s="98" t="s">
        <v>319</v>
      </c>
      <c r="Z2" s="98" t="s">
        <v>320</v>
      </c>
      <c r="AA2" s="82" t="s">
        <v>314</v>
      </c>
      <c r="AB2" s="47" t="s">
        <v>463</v>
      </c>
      <c r="AC2" s="15" t="s">
        <v>316</v>
      </c>
      <c r="AD2" s="64"/>
      <c r="AE2" s="65" t="s">
        <v>261</v>
      </c>
      <c r="AF2" s="65" t="s">
        <v>254</v>
      </c>
      <c r="AG2" s="65" t="s">
        <v>218</v>
      </c>
      <c r="AH2" s="65" t="s">
        <v>239</v>
      </c>
      <c r="AI2" s="65" t="s">
        <v>270</v>
      </c>
      <c r="AJ2" s="65" t="s">
        <v>470</v>
      </c>
      <c r="AK2" s="65" t="s">
        <v>323</v>
      </c>
      <c r="AL2" s="65" t="s">
        <v>285</v>
      </c>
      <c r="AM2" s="65" t="s">
        <v>201</v>
      </c>
      <c r="AN2" s="64"/>
    </row>
    <row r="3" spans="1:40" ht="13.5" customHeight="1" x14ac:dyDescent="0.2">
      <c r="A3" s="95" t="s">
        <v>5</v>
      </c>
      <c r="B3" s="95" t="s">
        <v>5</v>
      </c>
      <c r="C3" s="96"/>
      <c r="D3" s="96"/>
      <c r="E3" s="96">
        <v>3</v>
      </c>
      <c r="F3" s="96"/>
      <c r="G3" s="96"/>
      <c r="H3" s="96">
        <v>4</v>
      </c>
      <c r="I3" s="96">
        <v>1</v>
      </c>
      <c r="J3" s="96">
        <v>3</v>
      </c>
      <c r="K3" s="96">
        <v>3</v>
      </c>
      <c r="L3" s="96">
        <v>3</v>
      </c>
      <c r="M3" s="96">
        <v>4</v>
      </c>
      <c r="N3" s="96">
        <v>3</v>
      </c>
      <c r="O3" s="96">
        <v>5</v>
      </c>
      <c r="P3" s="96">
        <v>3</v>
      </c>
      <c r="Q3" s="96" t="s">
        <v>399</v>
      </c>
      <c r="R3" s="96" t="s">
        <v>399</v>
      </c>
      <c r="S3" s="96">
        <v>4</v>
      </c>
      <c r="T3" s="96"/>
      <c r="U3" s="96"/>
      <c r="V3" s="96">
        <v>3</v>
      </c>
      <c r="W3" s="96">
        <v>1</v>
      </c>
      <c r="X3" s="96"/>
      <c r="Y3" s="96"/>
      <c r="Z3" s="96"/>
      <c r="AA3" s="194"/>
      <c r="AB3" s="96">
        <f>ROUNDUP(AVERAGE(Table13[[#This Row],[% of population in sites with access to functioning complaints and feedback mechanisms]:[% of population in sites/communities reporting protection incidents in the last 3 months]]),0)</f>
        <v>4</v>
      </c>
      <c r="AC3"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4</v>
      </c>
      <c r="AE3" s="59">
        <f>Table1345[[#This Row],[FSC Severity]]</f>
        <v>3</v>
      </c>
      <c r="AF3" s="59">
        <f>Table1345[[#This Row],[Education Severity]]</f>
        <v>4</v>
      </c>
      <c r="AG3" s="59" t="str">
        <f>Table1345[[#This Row],[Nutrition Severity]]</f>
        <v>3</v>
      </c>
      <c r="AH3" s="59">
        <f>Table1345[[#This Row],[WASH_Severity]]</f>
        <v>3</v>
      </c>
      <c r="AI3" s="59">
        <f>Table1345[[#This Row],[Health Severity]]</f>
        <v>4</v>
      </c>
      <c r="AJ3" s="59">
        <f>Table1345[[#This Row],[Protection/GBV Severity]]</f>
        <v>3</v>
      </c>
      <c r="AK3" s="59">
        <f>Table1345[[#This Row],[CP_Severity]]</f>
        <v>3</v>
      </c>
      <c r="AL3" s="59">
        <f>Table1345[[#This Row],[Shelter/NFIs Severity]]</f>
        <v>0</v>
      </c>
      <c r="AM3" s="59">
        <f>Table1345[[#This Row],[CCCM_Severity]]</f>
        <v>0</v>
      </c>
    </row>
    <row r="4" spans="1:40" x14ac:dyDescent="0.2">
      <c r="A4" s="95" t="s">
        <v>104</v>
      </c>
      <c r="B4" s="95" t="s">
        <v>104</v>
      </c>
      <c r="C4" s="96"/>
      <c r="D4" s="96"/>
      <c r="E4" s="96"/>
      <c r="F4" s="96"/>
      <c r="G4" s="96"/>
      <c r="H4" s="96"/>
      <c r="I4" s="96"/>
      <c r="J4" s="96"/>
      <c r="K4" s="96">
        <v>3</v>
      </c>
      <c r="L4" s="96">
        <v>4</v>
      </c>
      <c r="M4" s="96">
        <v>5</v>
      </c>
      <c r="N4" s="96" t="s">
        <v>471</v>
      </c>
      <c r="O4" s="96">
        <v>3</v>
      </c>
      <c r="P4" s="96">
        <v>2</v>
      </c>
      <c r="Q4" s="96" t="s">
        <v>399</v>
      </c>
      <c r="R4" s="96" t="s">
        <v>400</v>
      </c>
      <c r="S4" s="96">
        <v>5</v>
      </c>
      <c r="T4" s="96"/>
      <c r="U4" s="96"/>
      <c r="V4" s="96">
        <v>2</v>
      </c>
      <c r="W4" s="96">
        <v>1</v>
      </c>
      <c r="X4" s="96"/>
      <c r="Y4" s="96"/>
      <c r="Z4" s="96"/>
      <c r="AA4" s="194"/>
      <c r="AB4" s="96">
        <f>ROUNDUP(AVERAGE(Table13[[#This Row],[% of population in sites with access to functioning complaints and feedback mechanisms]:[% of population in sites/communities reporting protection incidents in the last 3 months]]),0)</f>
        <v>4</v>
      </c>
      <c r="AC4"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4" s="59">
        <f>Table1345[[#This Row],[FSC Severity]]</f>
        <v>3</v>
      </c>
      <c r="AF4" s="59">
        <f>Table1345[[#This Row],[Education Severity]]</f>
        <v>0</v>
      </c>
      <c r="AG4" s="59" t="str">
        <f>Table1345[[#This Row],[Nutrition Severity]]</f>
        <v>3</v>
      </c>
      <c r="AH4" s="59">
        <f>Table1345[[#This Row],[WASH_Severity]]</f>
        <v>2</v>
      </c>
      <c r="AI4" s="59">
        <f>Table1345[[#This Row],[Health Severity]]</f>
        <v>3</v>
      </c>
      <c r="AJ4" s="59">
        <f>Table1345[[#This Row],[Protection/GBV Severity]]</f>
        <v>3.5</v>
      </c>
      <c r="AK4" s="59">
        <f>Table1345[[#This Row],[CP_Severity]]</f>
        <v>0</v>
      </c>
      <c r="AL4" s="59">
        <f>Table1345[[#This Row],[Shelter/NFIs Severity]]</f>
        <v>0</v>
      </c>
      <c r="AM4" s="59">
        <f>Table1345[[#This Row],[CCCM_Severity]]</f>
        <v>0</v>
      </c>
    </row>
    <row r="5" spans="1:40" x14ac:dyDescent="0.2">
      <c r="A5" s="95" t="s">
        <v>84</v>
      </c>
      <c r="B5" s="95" t="s">
        <v>85</v>
      </c>
      <c r="C5" s="96"/>
      <c r="D5" s="96"/>
      <c r="E5" s="96">
        <v>4</v>
      </c>
      <c r="F5" s="96"/>
      <c r="G5" s="96"/>
      <c r="H5" s="96">
        <v>5</v>
      </c>
      <c r="I5" s="96">
        <v>1</v>
      </c>
      <c r="J5" s="96">
        <v>4</v>
      </c>
      <c r="K5" s="96">
        <v>3</v>
      </c>
      <c r="L5" s="96">
        <v>2</v>
      </c>
      <c r="M5" s="96">
        <v>4</v>
      </c>
      <c r="N5" s="96">
        <v>3</v>
      </c>
      <c r="O5" s="96">
        <v>3</v>
      </c>
      <c r="P5" s="96">
        <v>1</v>
      </c>
      <c r="Q5" s="96" t="s">
        <v>399</v>
      </c>
      <c r="R5" s="96" t="s">
        <v>401</v>
      </c>
      <c r="S5" s="96">
        <v>4</v>
      </c>
      <c r="T5" s="96"/>
      <c r="U5" s="96"/>
      <c r="V5" s="96">
        <v>3</v>
      </c>
      <c r="W5" s="96">
        <v>2</v>
      </c>
      <c r="X5" s="96"/>
      <c r="Y5" s="96"/>
      <c r="Z5" s="96"/>
      <c r="AA5" s="194"/>
      <c r="AB5" s="96">
        <f>ROUNDUP(AVERAGE(Table13[[#This Row],[% of population in sites with access to functioning complaints and feedback mechanisms]:[% of population in sites/communities reporting protection incidents in the last 3 months]]),0)</f>
        <v>3</v>
      </c>
      <c r="AC5"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5" s="59">
        <f>Table1345[[#This Row],[FSC Severity]]</f>
        <v>3</v>
      </c>
      <c r="AF5" s="59">
        <f>Table1345[[#This Row],[Education Severity]]</f>
        <v>5</v>
      </c>
      <c r="AG5" s="59" t="str">
        <f>Table1345[[#This Row],[Nutrition Severity]]</f>
        <v>3</v>
      </c>
      <c r="AH5" s="59">
        <f>Table1345[[#This Row],[WASH_Severity]]</f>
        <v>3</v>
      </c>
      <c r="AI5" s="59">
        <f>Table1345[[#This Row],[Health Severity]]</f>
        <v>3</v>
      </c>
      <c r="AJ5" s="59">
        <f>Table1345[[#This Row],[Protection/GBV Severity]]</f>
        <v>3</v>
      </c>
      <c r="AK5" s="59">
        <f>Table1345[[#This Row],[CP_Severity]]</f>
        <v>4</v>
      </c>
      <c r="AL5" s="59">
        <f>Table1345[[#This Row],[Shelter/NFIs Severity]]</f>
        <v>0</v>
      </c>
      <c r="AM5" s="59">
        <f>Table1345[[#This Row],[CCCM_Severity]]</f>
        <v>0</v>
      </c>
    </row>
    <row r="6" spans="1:40" x14ac:dyDescent="0.2">
      <c r="A6" s="95" t="s">
        <v>84</v>
      </c>
      <c r="B6" s="95" t="s">
        <v>86</v>
      </c>
      <c r="C6" s="96"/>
      <c r="D6" s="96"/>
      <c r="E6" s="96"/>
      <c r="F6" s="96"/>
      <c r="G6" s="96"/>
      <c r="H6" s="96"/>
      <c r="I6" s="96"/>
      <c r="J6" s="96"/>
      <c r="K6" s="96">
        <v>3</v>
      </c>
      <c r="L6" s="96">
        <v>2</v>
      </c>
      <c r="M6" s="96">
        <v>4</v>
      </c>
      <c r="N6" s="96">
        <v>4</v>
      </c>
      <c r="O6" s="96">
        <v>4</v>
      </c>
      <c r="P6" s="96">
        <v>1</v>
      </c>
      <c r="Q6" s="96" t="s">
        <v>402</v>
      </c>
      <c r="R6" s="96" t="s">
        <v>399</v>
      </c>
      <c r="S6" s="96">
        <v>5</v>
      </c>
      <c r="T6" s="96"/>
      <c r="U6" s="96"/>
      <c r="V6" s="96">
        <v>3</v>
      </c>
      <c r="W6" s="96">
        <v>1</v>
      </c>
      <c r="X6" s="96"/>
      <c r="Y6" s="96"/>
      <c r="Z6" s="96"/>
      <c r="AA6" s="194"/>
      <c r="AB6" s="96">
        <f>ROUNDUP(AVERAGE(Table13[[#This Row],[% of population in sites with access to functioning complaints and feedback mechanisms]:[% of population in sites/communities reporting protection incidents in the last 3 months]]),0)</f>
        <v>3</v>
      </c>
      <c r="AC6"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4</v>
      </c>
      <c r="AE6" s="59">
        <f>Table1345[[#This Row],[FSC Severity]]</f>
        <v>3</v>
      </c>
      <c r="AF6" s="59">
        <f>Table1345[[#This Row],[Education Severity]]</f>
        <v>0</v>
      </c>
      <c r="AG6" s="59" t="str">
        <f>Table1345[[#This Row],[Nutrition Severity]]</f>
        <v>3</v>
      </c>
      <c r="AH6" s="59">
        <f>Table1345[[#This Row],[WASH_Severity]]</f>
        <v>3</v>
      </c>
      <c r="AI6" s="59">
        <f>Table1345[[#This Row],[Health Severity]]</f>
        <v>3</v>
      </c>
      <c r="AJ6" s="59">
        <f>Table1345[[#This Row],[Protection/GBV Severity]]</f>
        <v>3</v>
      </c>
      <c r="AK6" s="59">
        <f>Table1345[[#This Row],[CP_Severity]]</f>
        <v>0</v>
      </c>
      <c r="AL6" s="59">
        <f>Table1345[[#This Row],[Shelter/NFIs Severity]]</f>
        <v>0</v>
      </c>
      <c r="AM6" s="59">
        <f>Table1345[[#This Row],[CCCM_Severity]]</f>
        <v>0</v>
      </c>
    </row>
    <row r="7" spans="1:40" x14ac:dyDescent="0.2">
      <c r="A7" s="95" t="s">
        <v>84</v>
      </c>
      <c r="B7" s="95" t="s">
        <v>84</v>
      </c>
      <c r="C7" s="96"/>
      <c r="D7" s="96"/>
      <c r="E7" s="96">
        <v>4</v>
      </c>
      <c r="F7" s="96"/>
      <c r="G7" s="96"/>
      <c r="H7" s="201">
        <v>5</v>
      </c>
      <c r="I7" s="202">
        <v>1</v>
      </c>
      <c r="J7" s="202">
        <v>4</v>
      </c>
      <c r="K7" s="96">
        <v>3</v>
      </c>
      <c r="L7" s="96">
        <v>2</v>
      </c>
      <c r="M7" s="96">
        <v>4</v>
      </c>
      <c r="N7" s="96">
        <v>4</v>
      </c>
      <c r="O7" s="96">
        <v>2</v>
      </c>
      <c r="P7" s="96">
        <v>3</v>
      </c>
      <c r="Q7" s="96" t="s">
        <v>399</v>
      </c>
      <c r="R7" s="96" t="s">
        <v>399</v>
      </c>
      <c r="S7" s="96">
        <v>4</v>
      </c>
      <c r="T7" s="96"/>
      <c r="U7" s="96"/>
      <c r="V7" s="96">
        <v>3</v>
      </c>
      <c r="W7" s="96">
        <v>2</v>
      </c>
      <c r="X7" s="96">
        <v>4</v>
      </c>
      <c r="Y7" s="96">
        <v>4</v>
      </c>
      <c r="Z7" s="96"/>
      <c r="AA7" s="194"/>
      <c r="AB7" s="96">
        <f>ROUNDUP(AVERAGE(Table13[[#This Row],[% of population in sites with access to functioning complaints and feedback mechanisms]:[% of population in sites/communities reporting protection incidents in the last 3 months]]),0)</f>
        <v>4</v>
      </c>
      <c r="AC7"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7" s="59">
        <f>Table1345[[#This Row],[FSC Severity]]</f>
        <v>3</v>
      </c>
      <c r="AF7" s="59">
        <f>Table1345[[#This Row],[Education Severity]]</f>
        <v>5</v>
      </c>
      <c r="AG7" s="59" t="str">
        <f>Table1345[[#This Row],[Nutrition Severity]]</f>
        <v>4</v>
      </c>
      <c r="AH7" s="59">
        <f>Table1345[[#This Row],[WASH_Severity]]</f>
        <v>3</v>
      </c>
      <c r="AI7" s="59">
        <f>Table1345[[#This Row],[Health Severity]]</f>
        <v>3</v>
      </c>
      <c r="AJ7" s="59">
        <f>Table1345[[#This Row],[Protection/GBV Severity]]</f>
        <v>3</v>
      </c>
      <c r="AK7" s="59">
        <f>Table1345[[#This Row],[CP_Severity]]</f>
        <v>4</v>
      </c>
      <c r="AL7" s="59">
        <f>Table1345[[#This Row],[Shelter/NFIs Severity]]</f>
        <v>0</v>
      </c>
      <c r="AM7" s="59">
        <f>Table1345[[#This Row],[CCCM_Severity]]</f>
        <v>0</v>
      </c>
    </row>
    <row r="8" spans="1:40" x14ac:dyDescent="0.2">
      <c r="A8" s="95" t="s">
        <v>84</v>
      </c>
      <c r="B8" s="95" t="s">
        <v>87</v>
      </c>
      <c r="C8" s="96"/>
      <c r="D8" s="96"/>
      <c r="E8" s="96"/>
      <c r="F8" s="96"/>
      <c r="G8" s="96"/>
      <c r="H8" s="96"/>
      <c r="I8" s="96"/>
      <c r="J8" s="96"/>
      <c r="K8" s="96">
        <v>3</v>
      </c>
      <c r="L8" s="96">
        <v>2</v>
      </c>
      <c r="M8" s="96">
        <v>5</v>
      </c>
      <c r="N8" s="96">
        <v>4</v>
      </c>
      <c r="O8" s="96">
        <v>3</v>
      </c>
      <c r="P8" s="96">
        <v>3</v>
      </c>
      <c r="Q8" s="96" t="s">
        <v>399</v>
      </c>
      <c r="R8" s="96" t="s">
        <v>399</v>
      </c>
      <c r="S8" s="96">
        <v>4</v>
      </c>
      <c r="T8" s="96"/>
      <c r="U8" s="96"/>
      <c r="V8" s="96">
        <v>3</v>
      </c>
      <c r="W8" s="96">
        <v>1</v>
      </c>
      <c r="X8" s="96"/>
      <c r="Y8" s="96"/>
      <c r="Z8" s="96"/>
      <c r="AA8" s="194"/>
      <c r="AB8" s="96">
        <f>ROUNDUP(AVERAGE(Table13[[#This Row],[% of population in sites with access to functioning complaints and feedback mechanisms]:[% of population in sites/communities reporting protection incidents in the last 3 months]]),0)</f>
        <v>4</v>
      </c>
      <c r="AC8"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8" s="59">
        <f>Table1345[[#This Row],[FSC Severity]]</f>
        <v>3</v>
      </c>
      <c r="AF8" s="59">
        <f>Table1345[[#This Row],[Education Severity]]</f>
        <v>0</v>
      </c>
      <c r="AG8" s="59" t="str">
        <f>Table1345[[#This Row],[Nutrition Severity]]</f>
        <v>3</v>
      </c>
      <c r="AH8" s="59">
        <f>Table1345[[#This Row],[WASH_Severity]]</f>
        <v>3</v>
      </c>
      <c r="AI8" s="59">
        <f>Table1345[[#This Row],[Health Severity]]</f>
        <v>4</v>
      </c>
      <c r="AJ8" s="59">
        <f>Table1345[[#This Row],[Protection/GBV Severity]]</f>
        <v>3</v>
      </c>
      <c r="AK8" s="59">
        <f>Table1345[[#This Row],[CP_Severity]]</f>
        <v>0</v>
      </c>
      <c r="AL8" s="59">
        <f>Table1345[[#This Row],[Shelter/NFIs Severity]]</f>
        <v>0</v>
      </c>
      <c r="AM8" s="59">
        <f>Table1345[[#This Row],[CCCM_Severity]]</f>
        <v>0</v>
      </c>
    </row>
    <row r="9" spans="1:40" x14ac:dyDescent="0.2">
      <c r="A9" s="95" t="s">
        <v>6</v>
      </c>
      <c r="B9" s="95" t="s">
        <v>7</v>
      </c>
      <c r="C9" s="96"/>
      <c r="D9" s="96"/>
      <c r="E9" s="96">
        <v>2</v>
      </c>
      <c r="F9" s="96">
        <v>3</v>
      </c>
      <c r="G9" s="96">
        <v>3</v>
      </c>
      <c r="H9" s="96">
        <v>3</v>
      </c>
      <c r="I9" s="96">
        <v>1</v>
      </c>
      <c r="J9" s="96">
        <v>1</v>
      </c>
      <c r="K9" s="96">
        <v>3</v>
      </c>
      <c r="L9" s="96">
        <v>4</v>
      </c>
      <c r="M9" s="96">
        <v>5</v>
      </c>
      <c r="N9" s="96">
        <v>3</v>
      </c>
      <c r="O9" s="96">
        <v>4</v>
      </c>
      <c r="P9" s="96">
        <v>2</v>
      </c>
      <c r="Q9" s="96" t="s">
        <v>399</v>
      </c>
      <c r="R9" s="96" t="s">
        <v>399</v>
      </c>
      <c r="S9" s="96">
        <v>5</v>
      </c>
      <c r="T9" s="96">
        <v>3</v>
      </c>
      <c r="U9" s="96">
        <v>5</v>
      </c>
      <c r="V9" s="96">
        <v>3</v>
      </c>
      <c r="W9" s="96">
        <v>3</v>
      </c>
      <c r="X9" s="96"/>
      <c r="Y9" s="96"/>
      <c r="Z9" s="96"/>
      <c r="AA9" s="194"/>
      <c r="AB9" s="96">
        <f>ROUNDUP(AVERAGE(Table13[[#This Row],[% of population in sites with access to functioning complaints and feedback mechanisms]:[% of population in sites/communities reporting protection incidents in the last 3 months]]),0)</f>
        <v>4</v>
      </c>
      <c r="AC9"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4</v>
      </c>
      <c r="AE9" s="59">
        <f>Table1345[[#This Row],[FSC Severity]]</f>
        <v>3</v>
      </c>
      <c r="AF9" s="59">
        <f>Table1345[[#This Row],[Education Severity]]</f>
        <v>3</v>
      </c>
      <c r="AG9" s="59">
        <f>Table1345[[#This Row],[Nutrition Severity]]</f>
        <v>3</v>
      </c>
      <c r="AH9" s="59">
        <f>Table1345[[#This Row],[WASH_Severity]]</f>
        <v>3</v>
      </c>
      <c r="AI9" s="59">
        <f>Table1345[[#This Row],[Health Severity]]</f>
        <v>3</v>
      </c>
      <c r="AJ9" s="59">
        <f>Table1345[[#This Row],[Protection/GBV Severity]]</f>
        <v>3.5</v>
      </c>
      <c r="AK9" s="59">
        <f>Table1345[[#This Row],[CP_Severity]]</f>
        <v>2.6666666666666665</v>
      </c>
      <c r="AL9" s="59">
        <f>Table1345[[#This Row],[Shelter/NFIs Severity]]</f>
        <v>5</v>
      </c>
      <c r="AM9" s="59">
        <f>Table1345[[#This Row],[CCCM_Severity]]</f>
        <v>0</v>
      </c>
    </row>
    <row r="10" spans="1:40" x14ac:dyDescent="0.2">
      <c r="A10" s="95" t="s">
        <v>6</v>
      </c>
      <c r="B10" s="95" t="s">
        <v>8</v>
      </c>
      <c r="C10" s="96">
        <v>3</v>
      </c>
      <c r="D10" s="96">
        <v>3</v>
      </c>
      <c r="E10" s="96">
        <v>2</v>
      </c>
      <c r="F10" s="96">
        <v>2</v>
      </c>
      <c r="G10" s="96">
        <v>2</v>
      </c>
      <c r="H10" s="96">
        <v>3</v>
      </c>
      <c r="I10" s="96">
        <v>1</v>
      </c>
      <c r="J10" s="96">
        <v>2</v>
      </c>
      <c r="K10" s="96">
        <v>3</v>
      </c>
      <c r="L10" s="96">
        <v>4</v>
      </c>
      <c r="M10" s="96">
        <v>5</v>
      </c>
      <c r="N10" s="96">
        <v>3</v>
      </c>
      <c r="O10" s="96">
        <v>3</v>
      </c>
      <c r="P10" s="96">
        <v>1</v>
      </c>
      <c r="Q10" s="96" t="s">
        <v>399</v>
      </c>
      <c r="R10" s="96" t="s">
        <v>402</v>
      </c>
      <c r="S10" s="96">
        <v>5</v>
      </c>
      <c r="T10" s="96">
        <v>2</v>
      </c>
      <c r="U10" s="96">
        <v>4</v>
      </c>
      <c r="V10" s="96">
        <v>2</v>
      </c>
      <c r="W10" s="96">
        <v>2</v>
      </c>
      <c r="X10" s="96"/>
      <c r="Y10" s="96"/>
      <c r="Z10" s="96"/>
      <c r="AA10" s="194"/>
      <c r="AB10" s="96">
        <f>ROUNDUP(AVERAGE(Table13[[#This Row],[% of population in sites with access to functioning complaints and feedback mechanisms]:[% of population in sites/communities reporting protection incidents in the last 3 months]]),0)</f>
        <v>3</v>
      </c>
      <c r="AC10"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10" s="59">
        <f>Table1345[[#This Row],[FSC Severity]]</f>
        <v>3</v>
      </c>
      <c r="AF10" s="59">
        <f>Table1345[[#This Row],[Education Severity]]</f>
        <v>3</v>
      </c>
      <c r="AG10" s="59" t="str">
        <f>Table1345[[#This Row],[Nutrition Severity]]</f>
        <v>3</v>
      </c>
      <c r="AH10" s="59">
        <f>Table1345[[#This Row],[WASH_Severity]]</f>
        <v>2</v>
      </c>
      <c r="AI10" s="59">
        <f>Table1345[[#This Row],[Health Severity]]</f>
        <v>3</v>
      </c>
      <c r="AJ10" s="59">
        <f>Table1345[[#This Row],[Protection/GBV Severity]]</f>
        <v>3.5</v>
      </c>
      <c r="AK10" s="59">
        <f>Table1345[[#This Row],[CP_Severity]]</f>
        <v>2</v>
      </c>
      <c r="AL10" s="59">
        <f>Table1345[[#This Row],[Shelter/NFIs Severity]]</f>
        <v>4</v>
      </c>
      <c r="AM10" s="59">
        <f>Table1345[[#This Row],[CCCM_Severity]]</f>
        <v>3</v>
      </c>
    </row>
    <row r="11" spans="1:40" x14ac:dyDescent="0.2">
      <c r="A11" s="95" t="s">
        <v>6</v>
      </c>
      <c r="B11" s="95" t="s">
        <v>89</v>
      </c>
      <c r="C11" s="96"/>
      <c r="D11" s="96"/>
      <c r="E11" s="96">
        <v>2</v>
      </c>
      <c r="F11" s="96">
        <v>2</v>
      </c>
      <c r="G11" s="96">
        <v>2</v>
      </c>
      <c r="H11" s="96">
        <v>3</v>
      </c>
      <c r="I11" s="96">
        <v>1</v>
      </c>
      <c r="J11" s="96">
        <v>3</v>
      </c>
      <c r="K11" s="96">
        <v>3</v>
      </c>
      <c r="L11" s="96">
        <v>4</v>
      </c>
      <c r="M11" s="96">
        <v>5</v>
      </c>
      <c r="N11" s="96">
        <v>4</v>
      </c>
      <c r="O11" s="96">
        <v>3</v>
      </c>
      <c r="P11" s="96">
        <v>1</v>
      </c>
      <c r="Q11" s="96" t="s">
        <v>399</v>
      </c>
      <c r="R11" s="96" t="s">
        <v>399</v>
      </c>
      <c r="S11" s="96">
        <v>5</v>
      </c>
      <c r="T11" s="96">
        <v>2</v>
      </c>
      <c r="U11" s="96">
        <v>3</v>
      </c>
      <c r="V11" s="96">
        <v>2</v>
      </c>
      <c r="W11" s="96">
        <v>2</v>
      </c>
      <c r="X11" s="96">
        <v>4</v>
      </c>
      <c r="Y11" s="96">
        <v>4</v>
      </c>
      <c r="Z11" s="96">
        <v>3</v>
      </c>
      <c r="AA11" s="194"/>
      <c r="AB11" s="96">
        <f>ROUNDUP(AVERAGE(Table13[[#This Row],[% of population in sites with access to functioning complaints and feedback mechanisms]:[% of population in sites/communities reporting protection incidents in the last 3 months]]),0)</f>
        <v>3</v>
      </c>
      <c r="AC11"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11" s="59">
        <f>Table1345[[#This Row],[FSC Severity]]</f>
        <v>3</v>
      </c>
      <c r="AF11" s="59">
        <f>Table1345[[#This Row],[Education Severity]]</f>
        <v>3</v>
      </c>
      <c r="AG11" s="59" t="str">
        <f>Table1345[[#This Row],[Nutrition Severity]]</f>
        <v>3</v>
      </c>
      <c r="AH11" s="59">
        <f>Table1345[[#This Row],[WASH_Severity]]</f>
        <v>3</v>
      </c>
      <c r="AI11" s="59">
        <f>Table1345[[#This Row],[Health Severity]]</f>
        <v>3</v>
      </c>
      <c r="AJ11" s="59">
        <f>Table1345[[#This Row],[Protection/GBV Severity]]</f>
        <v>3.5</v>
      </c>
      <c r="AK11" s="59">
        <f>Table1345[[#This Row],[CP_Severity]]</f>
        <v>2</v>
      </c>
      <c r="AL11" s="59">
        <f>Table1345[[#This Row],[Shelter/NFIs Severity]]</f>
        <v>3</v>
      </c>
      <c r="AM11" s="59">
        <f>Table1345[[#This Row],[CCCM_Severity]]</f>
        <v>0</v>
      </c>
    </row>
    <row r="12" spans="1:40" x14ac:dyDescent="0.2">
      <c r="A12" s="95" t="s">
        <v>6</v>
      </c>
      <c r="B12" s="95" t="s">
        <v>14</v>
      </c>
      <c r="C12" s="96"/>
      <c r="D12" s="96"/>
      <c r="E12" s="96"/>
      <c r="F12" s="96">
        <v>1</v>
      </c>
      <c r="G12" s="96">
        <v>1</v>
      </c>
      <c r="H12" s="96"/>
      <c r="I12" s="96"/>
      <c r="J12" s="96"/>
      <c r="K12" s="96">
        <v>3</v>
      </c>
      <c r="L12" s="96">
        <v>4</v>
      </c>
      <c r="M12" s="96">
        <v>4</v>
      </c>
      <c r="N12" s="96">
        <v>1</v>
      </c>
      <c r="O12" s="96">
        <v>3</v>
      </c>
      <c r="P12" s="96">
        <v>1</v>
      </c>
      <c r="Q12" s="96" t="s">
        <v>402</v>
      </c>
      <c r="R12" s="96" t="s">
        <v>402</v>
      </c>
      <c r="S12" s="96">
        <v>5</v>
      </c>
      <c r="T12" s="96"/>
      <c r="U12" s="96"/>
      <c r="V12" s="96">
        <v>3</v>
      </c>
      <c r="W12" s="96">
        <v>2</v>
      </c>
      <c r="X12" s="96"/>
      <c r="Y12" s="96"/>
      <c r="Z12" s="96"/>
      <c r="AA12" s="194"/>
      <c r="AB12" s="96">
        <f>ROUNDUP(AVERAGE(Table13[[#This Row],[% of population in sites with access to functioning complaints and feedback mechanisms]:[% of population in sites/communities reporting protection incidents in the last 3 months]]),0)</f>
        <v>3</v>
      </c>
      <c r="AC12"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12" s="59">
        <f>Table1345[[#This Row],[FSC Severity]]</f>
        <v>3</v>
      </c>
      <c r="AF12" s="59">
        <f>Table1345[[#This Row],[Education Severity]]</f>
        <v>0</v>
      </c>
      <c r="AG12" s="59" t="str">
        <f>Table1345[[#This Row],[Nutrition Severity]]</f>
        <v>3</v>
      </c>
      <c r="AH12" s="59">
        <f>Table1345[[#This Row],[WASH_Severity]]</f>
        <v>3</v>
      </c>
      <c r="AI12" s="59">
        <f>Table1345[[#This Row],[Health Severity]]</f>
        <v>2</v>
      </c>
      <c r="AJ12" s="59">
        <f>Table1345[[#This Row],[Protection/GBV Severity]]</f>
        <v>3.5</v>
      </c>
      <c r="AK12" s="59">
        <f>Table1345[[#This Row],[CP_Severity]]</f>
        <v>1</v>
      </c>
      <c r="AL12" s="59">
        <f>Table1345[[#This Row],[Shelter/NFIs Severity]]</f>
        <v>0</v>
      </c>
      <c r="AM12" s="59">
        <f>Table1345[[#This Row],[CCCM_Severity]]</f>
        <v>0</v>
      </c>
    </row>
    <row r="13" spans="1:40" x14ac:dyDescent="0.2">
      <c r="A13" s="95" t="s">
        <v>6</v>
      </c>
      <c r="B13" s="95" t="s">
        <v>9</v>
      </c>
      <c r="C13" s="96"/>
      <c r="D13" s="96"/>
      <c r="E13" s="96">
        <v>3</v>
      </c>
      <c r="F13" s="96">
        <v>1</v>
      </c>
      <c r="G13" s="96">
        <v>2</v>
      </c>
      <c r="H13" s="96">
        <v>4</v>
      </c>
      <c r="I13" s="96">
        <v>1</v>
      </c>
      <c r="J13" s="96">
        <v>2</v>
      </c>
      <c r="K13" s="96">
        <v>3</v>
      </c>
      <c r="L13" s="96">
        <v>4</v>
      </c>
      <c r="M13" s="96">
        <v>5</v>
      </c>
      <c r="N13" s="96">
        <v>4</v>
      </c>
      <c r="O13" s="96">
        <v>3</v>
      </c>
      <c r="P13" s="96">
        <v>2</v>
      </c>
      <c r="Q13" s="96" t="s">
        <v>402</v>
      </c>
      <c r="R13" s="96" t="s">
        <v>402</v>
      </c>
      <c r="S13" s="96">
        <v>5</v>
      </c>
      <c r="T13" s="96">
        <v>1</v>
      </c>
      <c r="U13" s="96">
        <v>5</v>
      </c>
      <c r="V13" s="96">
        <v>1</v>
      </c>
      <c r="W13" s="96">
        <v>2</v>
      </c>
      <c r="X13" s="96"/>
      <c r="Y13" s="96"/>
      <c r="Z13" s="96"/>
      <c r="AA13" s="194"/>
      <c r="AB13" s="96">
        <f>ROUNDUP(AVERAGE(Table13[[#This Row],[% of population in sites with access to functioning complaints and feedback mechanisms]:[% of population in sites/communities reporting protection incidents in the last 3 months]]),0)</f>
        <v>3</v>
      </c>
      <c r="AC13"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13" s="59">
        <f>Table1345[[#This Row],[FSC Severity]]</f>
        <v>3</v>
      </c>
      <c r="AF13" s="59">
        <f>Table1345[[#This Row],[Education Severity]]</f>
        <v>3</v>
      </c>
      <c r="AG13" s="59" t="str">
        <f>Table1345[[#This Row],[Nutrition Severity]]</f>
        <v>4</v>
      </c>
      <c r="AH13" s="59">
        <f>Table1345[[#This Row],[WASH_Severity]]</f>
        <v>2</v>
      </c>
      <c r="AI13" s="59">
        <f>Table1345[[#This Row],[Health Severity]]</f>
        <v>3</v>
      </c>
      <c r="AJ13" s="59">
        <f>Table1345[[#This Row],[Protection/GBV Severity]]</f>
        <v>3.5</v>
      </c>
      <c r="AK13" s="59">
        <f>Table1345[[#This Row],[CP_Severity]]</f>
        <v>3</v>
      </c>
      <c r="AL13" s="59">
        <f>Table1345[[#This Row],[Shelter/NFIs Severity]]</f>
        <v>5</v>
      </c>
      <c r="AM13" s="59">
        <f>Table1345[[#This Row],[CCCM_Severity]]</f>
        <v>0</v>
      </c>
    </row>
    <row r="14" spans="1:40" x14ac:dyDescent="0.2">
      <c r="A14" s="95" t="s">
        <v>6</v>
      </c>
      <c r="B14" s="95" t="s">
        <v>88</v>
      </c>
      <c r="C14" s="96"/>
      <c r="D14" s="96"/>
      <c r="E14" s="96">
        <v>3</v>
      </c>
      <c r="F14" s="96">
        <v>3</v>
      </c>
      <c r="G14" s="96">
        <v>3</v>
      </c>
      <c r="H14" s="96">
        <v>4</v>
      </c>
      <c r="I14" s="96">
        <v>1</v>
      </c>
      <c r="J14" s="96">
        <v>3</v>
      </c>
      <c r="K14" s="96">
        <v>3</v>
      </c>
      <c r="L14" s="96">
        <v>4</v>
      </c>
      <c r="M14" s="96">
        <v>5</v>
      </c>
      <c r="N14" s="96">
        <v>3</v>
      </c>
      <c r="O14" s="96">
        <v>5</v>
      </c>
      <c r="P14" s="96">
        <v>4</v>
      </c>
      <c r="Q14" s="96" t="s">
        <v>399</v>
      </c>
      <c r="R14" s="96" t="s">
        <v>399</v>
      </c>
      <c r="S14" s="96">
        <v>5</v>
      </c>
      <c r="T14" s="96">
        <v>2</v>
      </c>
      <c r="U14" s="96">
        <v>4</v>
      </c>
      <c r="V14" s="96">
        <v>1</v>
      </c>
      <c r="W14" s="96">
        <v>2</v>
      </c>
      <c r="X14" s="96"/>
      <c r="Y14" s="96"/>
      <c r="Z14" s="96"/>
      <c r="AA14" s="194"/>
      <c r="AB14" s="96">
        <f>ROUNDUP(AVERAGE(Table13[[#This Row],[% of population in sites with access to functioning complaints and feedback mechanisms]:[% of population in sites/communities reporting protection incidents in the last 3 months]]),0)</f>
        <v>4</v>
      </c>
      <c r="AC14"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4</v>
      </c>
      <c r="AE14" s="59">
        <f>Table1345[[#This Row],[FSC Severity]]</f>
        <v>3</v>
      </c>
      <c r="AF14" s="59">
        <f>Table1345[[#This Row],[Education Severity]]</f>
        <v>4</v>
      </c>
      <c r="AG14" s="59" t="str">
        <f>Table1345[[#This Row],[Nutrition Severity]]</f>
        <v>4</v>
      </c>
      <c r="AH14" s="59">
        <f>Table1345[[#This Row],[WASH_Severity]]</f>
        <v>2</v>
      </c>
      <c r="AI14" s="59">
        <f>Table1345[[#This Row],[Health Severity]]</f>
        <v>4</v>
      </c>
      <c r="AJ14" s="59">
        <f>Table1345[[#This Row],[Protection/GBV Severity]]</f>
        <v>3.5</v>
      </c>
      <c r="AK14" s="59">
        <f>Table1345[[#This Row],[CP_Severity]]</f>
        <v>3</v>
      </c>
      <c r="AL14" s="59">
        <f>Table1345[[#This Row],[Shelter/NFIs Severity]]</f>
        <v>4</v>
      </c>
      <c r="AM14" s="59">
        <f>Table1345[[#This Row],[CCCM_Severity]]</f>
        <v>0</v>
      </c>
    </row>
    <row r="15" spans="1:40" x14ac:dyDescent="0.2">
      <c r="A15" s="95" t="s">
        <v>6</v>
      </c>
      <c r="B15" s="95" t="s">
        <v>12</v>
      </c>
      <c r="C15" s="96"/>
      <c r="D15" s="96"/>
      <c r="E15" s="96"/>
      <c r="F15" s="96">
        <v>1</v>
      </c>
      <c r="G15" s="96">
        <v>1</v>
      </c>
      <c r="H15" s="96"/>
      <c r="I15" s="96"/>
      <c r="J15" s="96"/>
      <c r="K15" s="96">
        <v>3</v>
      </c>
      <c r="L15" s="96">
        <v>4</v>
      </c>
      <c r="M15" s="96">
        <v>4</v>
      </c>
      <c r="N15" s="96">
        <v>5</v>
      </c>
      <c r="O15" s="96">
        <v>2</v>
      </c>
      <c r="P15" s="96">
        <v>4</v>
      </c>
      <c r="Q15" s="96" t="s">
        <v>402</v>
      </c>
      <c r="R15" s="96" t="s">
        <v>402</v>
      </c>
      <c r="S15" s="96">
        <v>5</v>
      </c>
      <c r="T15" s="96"/>
      <c r="U15" s="96"/>
      <c r="V15" s="96">
        <v>2</v>
      </c>
      <c r="W15" s="96">
        <v>1</v>
      </c>
      <c r="X15" s="96"/>
      <c r="Y15" s="96"/>
      <c r="Z15" s="96"/>
      <c r="AA15" s="194"/>
      <c r="AB15" s="96">
        <f>ROUNDUP(AVERAGE(Table13[[#This Row],[% of population in sites with access to functioning complaints and feedback mechanisms]:[% of population in sites/communities reporting protection incidents in the last 3 months]]),0)</f>
        <v>3</v>
      </c>
      <c r="AC15"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4</v>
      </c>
      <c r="AE15" s="59">
        <f>Table1345[[#This Row],[FSC Severity]]</f>
        <v>3</v>
      </c>
      <c r="AF15" s="59">
        <f>Table1345[[#This Row],[Education Severity]]</f>
        <v>0</v>
      </c>
      <c r="AG15" s="59" t="str">
        <f>Table1345[[#This Row],[Nutrition Severity]]</f>
        <v>3</v>
      </c>
      <c r="AH15" s="59">
        <f>Table1345[[#This Row],[WASH_Severity]]</f>
        <v>2</v>
      </c>
      <c r="AI15" s="59">
        <f>Table1345[[#This Row],[Health Severity]]</f>
        <v>4</v>
      </c>
      <c r="AJ15" s="59">
        <f>Table1345[[#This Row],[Protection/GBV Severity]]</f>
        <v>3.5</v>
      </c>
      <c r="AK15" s="59">
        <f>Table1345[[#This Row],[CP_Severity]]</f>
        <v>1</v>
      </c>
      <c r="AL15" s="59">
        <f>Table1345[[#This Row],[Shelter/NFIs Severity]]</f>
        <v>0</v>
      </c>
      <c r="AM15" s="59">
        <f>Table1345[[#This Row],[CCCM_Severity]]</f>
        <v>0</v>
      </c>
    </row>
    <row r="16" spans="1:40" x14ac:dyDescent="0.2">
      <c r="A16" s="95" t="s">
        <v>6</v>
      </c>
      <c r="B16" s="95" t="s">
        <v>10</v>
      </c>
      <c r="C16" s="96"/>
      <c r="D16" s="96"/>
      <c r="E16" s="96">
        <v>2</v>
      </c>
      <c r="F16" s="96">
        <v>2</v>
      </c>
      <c r="G16" s="96">
        <v>2</v>
      </c>
      <c r="H16" s="96">
        <v>3</v>
      </c>
      <c r="I16" s="96">
        <v>1</v>
      </c>
      <c r="J16" s="96">
        <v>3</v>
      </c>
      <c r="K16" s="96">
        <v>3</v>
      </c>
      <c r="L16" s="96">
        <v>4</v>
      </c>
      <c r="M16" s="96">
        <v>5</v>
      </c>
      <c r="N16" s="96">
        <v>3</v>
      </c>
      <c r="O16" s="96">
        <v>5</v>
      </c>
      <c r="P16" s="96">
        <v>2</v>
      </c>
      <c r="Q16" s="96" t="s">
        <v>402</v>
      </c>
      <c r="R16" s="96" t="s">
        <v>402</v>
      </c>
      <c r="S16" s="96">
        <v>5</v>
      </c>
      <c r="T16" s="96">
        <v>3</v>
      </c>
      <c r="U16" s="96">
        <v>4</v>
      </c>
      <c r="V16" s="96">
        <v>2</v>
      </c>
      <c r="W16" s="96">
        <v>1</v>
      </c>
      <c r="X16" s="96"/>
      <c r="Y16" s="96"/>
      <c r="Z16" s="96"/>
      <c r="AA16" s="194"/>
      <c r="AB16" s="96">
        <f>ROUNDUP(AVERAGE(Table13[[#This Row],[% of population in sites with access to functioning complaints and feedback mechanisms]:[% of population in sites/communities reporting protection incidents in the last 3 months]]),0)</f>
        <v>3</v>
      </c>
      <c r="AC16"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4</v>
      </c>
      <c r="AE16" s="59">
        <f>Table1345[[#This Row],[FSC Severity]]</f>
        <v>3</v>
      </c>
      <c r="AF16" s="59">
        <f>Table1345[[#This Row],[Education Severity]]</f>
        <v>3</v>
      </c>
      <c r="AG16" s="59" t="str">
        <f>Table1345[[#This Row],[Nutrition Severity]]</f>
        <v>4</v>
      </c>
      <c r="AH16" s="59">
        <f>Table1345[[#This Row],[WASH_Severity]]</f>
        <v>2</v>
      </c>
      <c r="AI16" s="59">
        <f>Table1345[[#This Row],[Health Severity]]</f>
        <v>4</v>
      </c>
      <c r="AJ16" s="59">
        <f>Table1345[[#This Row],[Protection/GBV Severity]]</f>
        <v>3.5</v>
      </c>
      <c r="AK16" s="59">
        <f>Table1345[[#This Row],[CP_Severity]]</f>
        <v>2</v>
      </c>
      <c r="AL16" s="59">
        <f>Table1345[[#This Row],[Shelter/NFIs Severity]]</f>
        <v>4</v>
      </c>
      <c r="AM16" s="59">
        <f>Table1345[[#This Row],[CCCM_Severity]]</f>
        <v>0</v>
      </c>
    </row>
    <row r="17" spans="1:39" x14ac:dyDescent="0.2">
      <c r="A17" s="95" t="s">
        <v>6</v>
      </c>
      <c r="B17" s="95" t="s">
        <v>11</v>
      </c>
      <c r="C17" s="96"/>
      <c r="D17" s="96"/>
      <c r="E17" s="96">
        <v>2</v>
      </c>
      <c r="F17" s="96">
        <v>2</v>
      </c>
      <c r="G17" s="96">
        <v>2</v>
      </c>
      <c r="H17" s="96">
        <v>3</v>
      </c>
      <c r="I17" s="96">
        <v>1</v>
      </c>
      <c r="J17" s="96">
        <v>2</v>
      </c>
      <c r="K17" s="96">
        <v>3</v>
      </c>
      <c r="L17" s="96">
        <v>4</v>
      </c>
      <c r="M17" s="96">
        <v>5</v>
      </c>
      <c r="N17" s="96">
        <v>3</v>
      </c>
      <c r="O17" s="96">
        <v>3</v>
      </c>
      <c r="P17" s="96">
        <v>2</v>
      </c>
      <c r="Q17" s="96" t="s">
        <v>401</v>
      </c>
      <c r="R17" s="96" t="s">
        <v>401</v>
      </c>
      <c r="S17" s="96">
        <v>4</v>
      </c>
      <c r="T17" s="96">
        <v>3</v>
      </c>
      <c r="U17" s="96">
        <v>4</v>
      </c>
      <c r="V17" s="96">
        <v>2</v>
      </c>
      <c r="W17" s="96">
        <v>2</v>
      </c>
      <c r="X17" s="96"/>
      <c r="Y17" s="96"/>
      <c r="Z17" s="96"/>
      <c r="AA17" s="194"/>
      <c r="AB17" s="96">
        <f>ROUNDUP(AVERAGE(Table13[[#This Row],[% of population in sites with access to functioning complaints and feedback mechanisms]:[% of population in sites/communities reporting protection incidents in the last 3 months]]),0)</f>
        <v>3</v>
      </c>
      <c r="AC17"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17" s="59">
        <f>Table1345[[#This Row],[FSC Severity]]</f>
        <v>3</v>
      </c>
      <c r="AF17" s="59">
        <f>Table1345[[#This Row],[Education Severity]]</f>
        <v>3</v>
      </c>
      <c r="AG17" s="59" t="str">
        <f>Table1345[[#This Row],[Nutrition Severity]]</f>
        <v>4</v>
      </c>
      <c r="AH17" s="59">
        <f>Table1345[[#This Row],[WASH_Severity]]</f>
        <v>2</v>
      </c>
      <c r="AI17" s="59">
        <f>Table1345[[#This Row],[Health Severity]]</f>
        <v>3</v>
      </c>
      <c r="AJ17" s="59">
        <f>Table1345[[#This Row],[Protection/GBV Severity]]</f>
        <v>3.5</v>
      </c>
      <c r="AK17" s="59">
        <f>Table1345[[#This Row],[CP_Severity]]</f>
        <v>2</v>
      </c>
      <c r="AL17" s="59">
        <f>Table1345[[#This Row],[Shelter/NFIs Severity]]</f>
        <v>4</v>
      </c>
      <c r="AM17" s="59">
        <f>Table1345[[#This Row],[CCCM_Severity]]</f>
        <v>0</v>
      </c>
    </row>
    <row r="18" spans="1:39" x14ac:dyDescent="0.2">
      <c r="A18" s="95" t="s">
        <v>6</v>
      </c>
      <c r="B18" s="95" t="s">
        <v>13</v>
      </c>
      <c r="C18" s="96">
        <v>5</v>
      </c>
      <c r="D18" s="96">
        <v>5</v>
      </c>
      <c r="E18" s="96"/>
      <c r="F18" s="96">
        <v>1</v>
      </c>
      <c r="G18" s="96">
        <v>1</v>
      </c>
      <c r="H18" s="96"/>
      <c r="I18" s="96"/>
      <c r="J18" s="96"/>
      <c r="K18" s="96">
        <v>3</v>
      </c>
      <c r="L18" s="96">
        <v>4</v>
      </c>
      <c r="M18" s="96">
        <v>5</v>
      </c>
      <c r="N18" s="96">
        <v>1</v>
      </c>
      <c r="O18" s="96">
        <v>3</v>
      </c>
      <c r="P18" s="96">
        <v>2</v>
      </c>
      <c r="Q18" s="96" t="s">
        <v>399</v>
      </c>
      <c r="R18" s="96" t="s">
        <v>402</v>
      </c>
      <c r="S18" s="96">
        <v>5</v>
      </c>
      <c r="T18" s="96"/>
      <c r="U18" s="96"/>
      <c r="V18" s="96">
        <v>2</v>
      </c>
      <c r="W18" s="96">
        <v>1</v>
      </c>
      <c r="X18" s="96"/>
      <c r="Y18" s="96"/>
      <c r="Z18" s="96"/>
      <c r="AA18" s="194"/>
      <c r="AB18" s="96">
        <f>ROUNDUP(AVERAGE(Table13[[#This Row],[% of population in sites with access to functioning complaints and feedback mechanisms]:[% of population in sites/communities reporting protection incidents in the last 3 months]]),0)</f>
        <v>3</v>
      </c>
      <c r="AC18"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18" s="59">
        <f>Table1345[[#This Row],[FSC Severity]]</f>
        <v>3</v>
      </c>
      <c r="AF18" s="59">
        <f>Table1345[[#This Row],[Education Severity]]</f>
        <v>0</v>
      </c>
      <c r="AG18" s="59" t="str">
        <f>Table1345[[#This Row],[Nutrition Severity]]</f>
        <v>2</v>
      </c>
      <c r="AH18" s="59">
        <f>Table1345[[#This Row],[WASH_Severity]]</f>
        <v>2</v>
      </c>
      <c r="AI18" s="59">
        <f>Table1345[[#This Row],[Health Severity]]</f>
        <v>2</v>
      </c>
      <c r="AJ18" s="59">
        <f>Table1345[[#This Row],[Protection/GBV Severity]]</f>
        <v>3.5</v>
      </c>
      <c r="AK18" s="59">
        <f>Table1345[[#This Row],[CP_Severity]]</f>
        <v>1</v>
      </c>
      <c r="AL18" s="59">
        <f>Table1345[[#This Row],[Shelter/NFIs Severity]]</f>
        <v>0</v>
      </c>
      <c r="AM18" s="59">
        <f>Table1345[[#This Row],[CCCM_Severity]]</f>
        <v>5</v>
      </c>
    </row>
    <row r="19" spans="1:39" x14ac:dyDescent="0.2">
      <c r="A19" s="95" t="s">
        <v>15</v>
      </c>
      <c r="B19" s="95" t="s">
        <v>90</v>
      </c>
      <c r="C19" s="96"/>
      <c r="D19" s="96"/>
      <c r="E19" s="96">
        <v>3</v>
      </c>
      <c r="F19" s="96">
        <v>2</v>
      </c>
      <c r="G19" s="96">
        <v>2</v>
      </c>
      <c r="H19" s="96">
        <v>4</v>
      </c>
      <c r="I19" s="96">
        <v>1</v>
      </c>
      <c r="J19" s="96">
        <v>3</v>
      </c>
      <c r="K19" s="96">
        <v>3</v>
      </c>
      <c r="L19" s="96">
        <v>5</v>
      </c>
      <c r="M19" s="96">
        <v>5</v>
      </c>
      <c r="N19" s="96">
        <v>3</v>
      </c>
      <c r="O19" s="96">
        <v>3</v>
      </c>
      <c r="P19" s="96">
        <v>2</v>
      </c>
      <c r="Q19" s="96" t="s">
        <v>401</v>
      </c>
      <c r="R19" s="96" t="s">
        <v>401</v>
      </c>
      <c r="S19" s="96">
        <v>5</v>
      </c>
      <c r="T19" s="96"/>
      <c r="U19" s="96"/>
      <c r="V19" s="96">
        <v>2</v>
      </c>
      <c r="W19" s="96">
        <v>1</v>
      </c>
      <c r="X19" s="96"/>
      <c r="Y19" s="96"/>
      <c r="Z19" s="96"/>
      <c r="AA19" s="194"/>
      <c r="AB19" s="96">
        <f>ROUNDUP(AVERAGE(Table13[[#This Row],[% of population in sites with access to functioning complaints and feedback mechanisms]:[% of population in sites/communities reporting protection incidents in the last 3 months]]),0)</f>
        <v>3</v>
      </c>
      <c r="AC19"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4</v>
      </c>
      <c r="AE19" s="59">
        <f>Table1345[[#This Row],[FSC Severity]]</f>
        <v>3</v>
      </c>
      <c r="AF19" s="59">
        <f>Table1345[[#This Row],[Education Severity]]</f>
        <v>4</v>
      </c>
      <c r="AG19" s="59" t="str">
        <f>Table1345[[#This Row],[Nutrition Severity]]</f>
        <v>3</v>
      </c>
      <c r="AH19" s="59">
        <f>Table1345[[#This Row],[WASH_Severity]]</f>
        <v>2</v>
      </c>
      <c r="AI19" s="59">
        <f>Table1345[[#This Row],[Health Severity]]</f>
        <v>3</v>
      </c>
      <c r="AJ19" s="59">
        <f>Table1345[[#This Row],[Protection/GBV Severity]]</f>
        <v>4</v>
      </c>
      <c r="AK19" s="59">
        <f>Table1345[[#This Row],[CP_Severity]]</f>
        <v>3</v>
      </c>
      <c r="AL19" s="59">
        <f>Table1345[[#This Row],[Shelter/NFIs Severity]]</f>
        <v>0</v>
      </c>
      <c r="AM19" s="59">
        <f>Table1345[[#This Row],[CCCM_Severity]]</f>
        <v>0</v>
      </c>
    </row>
    <row r="20" spans="1:39" x14ac:dyDescent="0.2">
      <c r="A20" s="95" t="s">
        <v>15</v>
      </c>
      <c r="B20" s="95" t="s">
        <v>24</v>
      </c>
      <c r="C20" s="96"/>
      <c r="D20" s="96"/>
      <c r="E20" s="96"/>
      <c r="F20" s="96">
        <v>1</v>
      </c>
      <c r="G20" s="96">
        <v>1</v>
      </c>
      <c r="H20" s="96"/>
      <c r="I20" s="96"/>
      <c r="J20" s="96"/>
      <c r="K20" s="96">
        <v>3</v>
      </c>
      <c r="L20" s="96">
        <v>5</v>
      </c>
      <c r="M20" s="96">
        <v>4</v>
      </c>
      <c r="N20" s="96">
        <v>2</v>
      </c>
      <c r="O20" s="96">
        <v>2</v>
      </c>
      <c r="P20" s="96">
        <v>2</v>
      </c>
      <c r="Q20" s="96" t="s">
        <v>399</v>
      </c>
      <c r="R20" s="96" t="s">
        <v>402</v>
      </c>
      <c r="S20" s="96">
        <v>5</v>
      </c>
      <c r="T20" s="96"/>
      <c r="U20" s="96"/>
      <c r="V20" s="96">
        <v>2</v>
      </c>
      <c r="W20" s="96">
        <v>1</v>
      </c>
      <c r="X20" s="96"/>
      <c r="Y20" s="96"/>
      <c r="Z20" s="96"/>
      <c r="AA20" s="194"/>
      <c r="AB20" s="96">
        <f>ROUNDUP(AVERAGE(Table13[[#This Row],[% of population in sites with access to functioning complaints and feedback mechanisms]:[% of population in sites/communities reporting protection incidents in the last 3 months]]),0)</f>
        <v>3</v>
      </c>
      <c r="AC20"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20" s="59">
        <f>Table1345[[#This Row],[FSC Severity]]</f>
        <v>3</v>
      </c>
      <c r="AF20" s="59">
        <f>Table1345[[#This Row],[Education Severity]]</f>
        <v>0</v>
      </c>
      <c r="AG20" s="59" t="str">
        <f>Table1345[[#This Row],[Nutrition Severity]]</f>
        <v>2</v>
      </c>
      <c r="AH20" s="59">
        <f>Table1345[[#This Row],[WASH_Severity]]</f>
        <v>2</v>
      </c>
      <c r="AI20" s="59">
        <f>Table1345[[#This Row],[Health Severity]]</f>
        <v>2</v>
      </c>
      <c r="AJ20" s="59">
        <f>Table1345[[#This Row],[Protection/GBV Severity]]</f>
        <v>4</v>
      </c>
      <c r="AK20" s="59">
        <f>Table1345[[#This Row],[CP_Severity]]</f>
        <v>1</v>
      </c>
      <c r="AL20" s="59">
        <f>Table1345[[#This Row],[Shelter/NFIs Severity]]</f>
        <v>0</v>
      </c>
      <c r="AM20" s="59">
        <f>Table1345[[#This Row],[CCCM_Severity]]</f>
        <v>0</v>
      </c>
    </row>
    <row r="21" spans="1:39" x14ac:dyDescent="0.2">
      <c r="A21" s="95" t="s">
        <v>15</v>
      </c>
      <c r="B21" s="95" t="s">
        <v>16</v>
      </c>
      <c r="C21" s="96"/>
      <c r="D21" s="96"/>
      <c r="E21" s="96">
        <v>4</v>
      </c>
      <c r="F21" s="96">
        <v>2</v>
      </c>
      <c r="G21" s="96">
        <v>2</v>
      </c>
      <c r="H21" s="96">
        <v>5</v>
      </c>
      <c r="I21" s="96">
        <v>1</v>
      </c>
      <c r="J21" s="96">
        <v>4</v>
      </c>
      <c r="K21" s="96">
        <v>3</v>
      </c>
      <c r="L21" s="96">
        <v>5</v>
      </c>
      <c r="M21" s="96">
        <v>5</v>
      </c>
      <c r="N21" s="96">
        <v>2</v>
      </c>
      <c r="O21" s="96">
        <v>3</v>
      </c>
      <c r="P21" s="96">
        <v>3</v>
      </c>
      <c r="Q21" s="96" t="s">
        <v>401</v>
      </c>
      <c r="R21" s="96" t="s">
        <v>401</v>
      </c>
      <c r="S21" s="96">
        <v>5</v>
      </c>
      <c r="T21" s="96"/>
      <c r="U21" s="96"/>
      <c r="V21" s="96">
        <v>3</v>
      </c>
      <c r="W21" s="96">
        <v>1</v>
      </c>
      <c r="X21" s="96"/>
      <c r="Y21" s="96"/>
      <c r="Z21" s="96"/>
      <c r="AA21" s="194"/>
      <c r="AB21" s="96">
        <f>ROUNDUP(AVERAGE(Table13[[#This Row],[% of population in sites with access to functioning complaints and feedback mechanisms]:[% of population in sites/communities reporting protection incidents in the last 3 months]]),0)</f>
        <v>4</v>
      </c>
      <c r="AC21"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4</v>
      </c>
      <c r="AE21" s="59">
        <f>Table1345[[#This Row],[FSC Severity]]</f>
        <v>3</v>
      </c>
      <c r="AF21" s="59">
        <f>Table1345[[#This Row],[Education Severity]]</f>
        <v>5</v>
      </c>
      <c r="AG21" s="59" t="str">
        <f>Table1345[[#This Row],[Nutrition Severity]]</f>
        <v>3</v>
      </c>
      <c r="AH21" s="59">
        <f>Table1345[[#This Row],[WASH_Severity]]</f>
        <v>3</v>
      </c>
      <c r="AI21" s="59">
        <f>Table1345[[#This Row],[Health Severity]]</f>
        <v>3</v>
      </c>
      <c r="AJ21" s="59">
        <f>Table1345[[#This Row],[Protection/GBV Severity]]</f>
        <v>4</v>
      </c>
      <c r="AK21" s="59">
        <f>Table1345[[#This Row],[CP_Severity]]</f>
        <v>2.6666666666666665</v>
      </c>
      <c r="AL21" s="59">
        <f>Table1345[[#This Row],[Shelter/NFIs Severity]]</f>
        <v>0</v>
      </c>
      <c r="AM21" s="59">
        <f>Table1345[[#This Row],[CCCM_Severity]]</f>
        <v>0</v>
      </c>
    </row>
    <row r="22" spans="1:39" x14ac:dyDescent="0.2">
      <c r="A22" s="95" t="s">
        <v>15</v>
      </c>
      <c r="B22" s="95" t="s">
        <v>17</v>
      </c>
      <c r="C22" s="96"/>
      <c r="D22" s="96"/>
      <c r="E22" s="96">
        <v>3</v>
      </c>
      <c r="F22" s="96">
        <v>2</v>
      </c>
      <c r="G22" s="96">
        <v>2</v>
      </c>
      <c r="H22" s="96">
        <v>4</v>
      </c>
      <c r="I22" s="96">
        <v>1</v>
      </c>
      <c r="J22" s="96">
        <v>3</v>
      </c>
      <c r="K22" s="96">
        <v>3</v>
      </c>
      <c r="L22" s="96">
        <v>5</v>
      </c>
      <c r="M22" s="96">
        <v>5</v>
      </c>
      <c r="N22" s="96">
        <v>2</v>
      </c>
      <c r="O22" s="96">
        <v>3</v>
      </c>
      <c r="P22" s="96">
        <v>1</v>
      </c>
      <c r="Q22" s="96" t="s">
        <v>402</v>
      </c>
      <c r="R22" s="96" t="s">
        <v>402</v>
      </c>
      <c r="S22" s="96">
        <v>5</v>
      </c>
      <c r="T22" s="96"/>
      <c r="U22" s="96"/>
      <c r="V22" s="96">
        <v>2</v>
      </c>
      <c r="W22" s="96">
        <v>1</v>
      </c>
      <c r="X22" s="96"/>
      <c r="Y22" s="96"/>
      <c r="Z22" s="96"/>
      <c r="AA22" s="194"/>
      <c r="AB22" s="96">
        <f>ROUNDUP(AVERAGE(Table13[[#This Row],[% of population in sites with access to functioning complaints and feedback mechanisms]:[% of population in sites/communities reporting protection incidents in the last 3 months]]),0)</f>
        <v>3</v>
      </c>
      <c r="AC22"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22" s="59">
        <f>Table1345[[#This Row],[FSC Severity]]</f>
        <v>3</v>
      </c>
      <c r="AF22" s="59">
        <f>Table1345[[#This Row],[Education Severity]]</f>
        <v>4</v>
      </c>
      <c r="AG22" s="59" t="str">
        <f>Table1345[[#This Row],[Nutrition Severity]]</f>
        <v>2</v>
      </c>
      <c r="AH22" s="59">
        <f>Table1345[[#This Row],[WASH_Severity]]</f>
        <v>2</v>
      </c>
      <c r="AI22" s="59">
        <f>Table1345[[#This Row],[Health Severity]]</f>
        <v>2</v>
      </c>
      <c r="AJ22" s="59">
        <f>Table1345[[#This Row],[Protection/GBV Severity]]</f>
        <v>4</v>
      </c>
      <c r="AK22" s="59">
        <f>Table1345[[#This Row],[CP_Severity]]</f>
        <v>2.3333333333333335</v>
      </c>
      <c r="AL22" s="59">
        <f>Table1345[[#This Row],[Shelter/NFIs Severity]]</f>
        <v>0</v>
      </c>
      <c r="AM22" s="59">
        <f>Table1345[[#This Row],[CCCM_Severity]]</f>
        <v>0</v>
      </c>
    </row>
    <row r="23" spans="1:39" x14ac:dyDescent="0.2">
      <c r="A23" s="95" t="s">
        <v>15</v>
      </c>
      <c r="B23" s="95" t="s">
        <v>18</v>
      </c>
      <c r="C23" s="96"/>
      <c r="D23" s="96"/>
      <c r="E23" s="96">
        <v>3</v>
      </c>
      <c r="F23" s="96">
        <v>3</v>
      </c>
      <c r="G23" s="96">
        <v>3</v>
      </c>
      <c r="H23" s="96">
        <v>4</v>
      </c>
      <c r="I23" s="96">
        <v>1</v>
      </c>
      <c r="J23" s="96">
        <v>2</v>
      </c>
      <c r="K23" s="96">
        <v>3</v>
      </c>
      <c r="L23" s="96">
        <v>5</v>
      </c>
      <c r="M23" s="96">
        <v>5</v>
      </c>
      <c r="N23" s="96">
        <v>3</v>
      </c>
      <c r="O23" s="96">
        <v>3</v>
      </c>
      <c r="P23" s="96">
        <v>1</v>
      </c>
      <c r="Q23" s="96" t="s">
        <v>401</v>
      </c>
      <c r="R23" s="96" t="s">
        <v>400</v>
      </c>
      <c r="S23" s="96">
        <v>5</v>
      </c>
      <c r="T23" s="96"/>
      <c r="U23" s="96"/>
      <c r="V23" s="96">
        <v>2</v>
      </c>
      <c r="W23" s="96">
        <v>2</v>
      </c>
      <c r="X23" s="96"/>
      <c r="Y23" s="96"/>
      <c r="Z23" s="96"/>
      <c r="AA23" s="194"/>
      <c r="AB23" s="96">
        <f>ROUNDUP(AVERAGE(Table13[[#This Row],[% of population in sites with access to functioning complaints and feedback mechanisms]:[% of population in sites/communities reporting protection incidents in the last 3 months]]),0)</f>
        <v>3</v>
      </c>
      <c r="AC23"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4</v>
      </c>
      <c r="AE23" s="59">
        <f>Table1345[[#This Row],[FSC Severity]]</f>
        <v>3</v>
      </c>
      <c r="AF23" s="59">
        <f>Table1345[[#This Row],[Education Severity]]</f>
        <v>3</v>
      </c>
      <c r="AG23" s="59" t="str">
        <f>Table1345[[#This Row],[Nutrition Severity]]</f>
        <v>4</v>
      </c>
      <c r="AH23" s="59">
        <f>Table1345[[#This Row],[WASH_Severity]]</f>
        <v>2</v>
      </c>
      <c r="AI23" s="59">
        <f>Table1345[[#This Row],[Health Severity]]</f>
        <v>3</v>
      </c>
      <c r="AJ23" s="59">
        <f>Table1345[[#This Row],[Protection/GBV Severity]]</f>
        <v>4</v>
      </c>
      <c r="AK23" s="59">
        <f>Table1345[[#This Row],[CP_Severity]]</f>
        <v>3</v>
      </c>
      <c r="AL23" s="59">
        <f>Table1345[[#This Row],[Shelter/NFIs Severity]]</f>
        <v>0</v>
      </c>
      <c r="AM23" s="59">
        <f>Table1345[[#This Row],[CCCM_Severity]]</f>
        <v>0</v>
      </c>
    </row>
    <row r="24" spans="1:39" x14ac:dyDescent="0.2">
      <c r="A24" s="95" t="s">
        <v>15</v>
      </c>
      <c r="B24" s="95" t="s">
        <v>22</v>
      </c>
      <c r="C24" s="96"/>
      <c r="D24" s="96"/>
      <c r="E24" s="96">
        <v>4</v>
      </c>
      <c r="F24" s="96">
        <v>3</v>
      </c>
      <c r="G24" s="96">
        <v>3</v>
      </c>
      <c r="H24" s="96">
        <v>5</v>
      </c>
      <c r="I24" s="96">
        <v>1</v>
      </c>
      <c r="J24" s="96">
        <v>1</v>
      </c>
      <c r="K24" s="96">
        <v>3</v>
      </c>
      <c r="L24" s="96">
        <v>5</v>
      </c>
      <c r="M24" s="96">
        <v>5</v>
      </c>
      <c r="N24" s="96">
        <v>2</v>
      </c>
      <c r="O24" s="96">
        <v>3</v>
      </c>
      <c r="P24" s="96">
        <v>2</v>
      </c>
      <c r="Q24" s="96" t="s">
        <v>402</v>
      </c>
      <c r="R24" s="96" t="s">
        <v>402</v>
      </c>
      <c r="S24" s="96">
        <v>5</v>
      </c>
      <c r="T24" s="96"/>
      <c r="U24" s="96"/>
      <c r="V24" s="96">
        <v>2</v>
      </c>
      <c r="W24" s="96">
        <v>2</v>
      </c>
      <c r="X24" s="96"/>
      <c r="Y24" s="96"/>
      <c r="Z24" s="96"/>
      <c r="AA24" s="194"/>
      <c r="AB24" s="96">
        <f>ROUNDUP(AVERAGE(Table13[[#This Row],[% of population in sites with access to functioning complaints and feedback mechanisms]:[% of population in sites/communities reporting protection incidents in the last 3 months]]),0)</f>
        <v>4</v>
      </c>
      <c r="AC24"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4</v>
      </c>
      <c r="AE24" s="59">
        <f>Table1345[[#This Row],[FSC Severity]]</f>
        <v>3</v>
      </c>
      <c r="AF24" s="59">
        <f>Table1345[[#This Row],[Education Severity]]</f>
        <v>3</v>
      </c>
      <c r="AG24" s="59" t="str">
        <f>Table1345[[#This Row],[Nutrition Severity]]</f>
        <v>2</v>
      </c>
      <c r="AH24" s="59">
        <f>Table1345[[#This Row],[WASH_Severity]]</f>
        <v>2</v>
      </c>
      <c r="AI24" s="59">
        <f>Table1345[[#This Row],[Health Severity]]</f>
        <v>3</v>
      </c>
      <c r="AJ24" s="59">
        <f>Table1345[[#This Row],[Protection/GBV Severity]]</f>
        <v>4</v>
      </c>
      <c r="AK24" s="59">
        <f>Table1345[[#This Row],[CP_Severity]]</f>
        <v>3.3333333333333335</v>
      </c>
      <c r="AL24" s="59">
        <f>Table1345[[#This Row],[Shelter/NFIs Severity]]</f>
        <v>0</v>
      </c>
      <c r="AM24" s="59">
        <f>Table1345[[#This Row],[CCCM_Severity]]</f>
        <v>0</v>
      </c>
    </row>
    <row r="25" spans="1:39" x14ac:dyDescent="0.2">
      <c r="A25" s="95" t="s">
        <v>15</v>
      </c>
      <c r="B25" s="95" t="s">
        <v>19</v>
      </c>
      <c r="C25" s="96"/>
      <c r="D25" s="96"/>
      <c r="E25" s="96">
        <v>4</v>
      </c>
      <c r="F25" s="96">
        <v>2</v>
      </c>
      <c r="G25" s="96">
        <v>2</v>
      </c>
      <c r="H25" s="96">
        <v>5</v>
      </c>
      <c r="I25" s="96">
        <v>1</v>
      </c>
      <c r="J25" s="96">
        <v>5</v>
      </c>
      <c r="K25" s="96">
        <v>3</v>
      </c>
      <c r="L25" s="96">
        <v>5</v>
      </c>
      <c r="M25" s="96">
        <v>5</v>
      </c>
      <c r="N25" s="96">
        <v>2</v>
      </c>
      <c r="O25" s="96">
        <v>4</v>
      </c>
      <c r="P25" s="96">
        <v>2</v>
      </c>
      <c r="Q25" s="96" t="s">
        <v>402</v>
      </c>
      <c r="R25" s="96" t="s">
        <v>402</v>
      </c>
      <c r="S25" s="96">
        <v>5</v>
      </c>
      <c r="T25" s="96"/>
      <c r="U25" s="96"/>
      <c r="V25" s="96">
        <v>2</v>
      </c>
      <c r="W25" s="96">
        <v>2</v>
      </c>
      <c r="X25" s="96"/>
      <c r="Y25" s="96"/>
      <c r="Z25" s="96"/>
      <c r="AA25" s="194"/>
      <c r="AB25" s="96">
        <f>ROUNDUP(AVERAGE(Table13[[#This Row],[% of population in sites with access to functioning complaints and feedback mechanisms]:[% of population in sites/communities reporting protection incidents in the last 3 months]]),0)</f>
        <v>4</v>
      </c>
      <c r="AC25"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4</v>
      </c>
      <c r="AE25" s="59">
        <f>Table1345[[#This Row],[FSC Severity]]</f>
        <v>3</v>
      </c>
      <c r="AF25" s="59">
        <f>Table1345[[#This Row],[Education Severity]]</f>
        <v>5</v>
      </c>
      <c r="AG25" s="59" t="str">
        <f>Table1345[[#This Row],[Nutrition Severity]]</f>
        <v>4</v>
      </c>
      <c r="AH25" s="59">
        <f>Table1345[[#This Row],[WASH_Severity]]</f>
        <v>2</v>
      </c>
      <c r="AI25" s="59">
        <f>Table1345[[#This Row],[Health Severity]]</f>
        <v>3</v>
      </c>
      <c r="AJ25" s="59">
        <f>Table1345[[#This Row],[Protection/GBV Severity]]</f>
        <v>4</v>
      </c>
      <c r="AK25" s="59">
        <f>Table1345[[#This Row],[CP_Severity]]</f>
        <v>2.6666666666666665</v>
      </c>
      <c r="AL25" s="59">
        <f>Table1345[[#This Row],[Shelter/NFIs Severity]]</f>
        <v>0</v>
      </c>
      <c r="AM25" s="59">
        <f>Table1345[[#This Row],[CCCM_Severity]]</f>
        <v>0</v>
      </c>
    </row>
    <row r="26" spans="1:39" x14ac:dyDescent="0.2">
      <c r="A26" s="95" t="s">
        <v>15</v>
      </c>
      <c r="B26" s="95" t="s">
        <v>23</v>
      </c>
      <c r="C26" s="96"/>
      <c r="D26" s="96"/>
      <c r="E26" s="96"/>
      <c r="F26" s="96">
        <v>1</v>
      </c>
      <c r="G26" s="96">
        <v>1</v>
      </c>
      <c r="H26" s="96"/>
      <c r="I26" s="96"/>
      <c r="J26" s="96"/>
      <c r="K26" s="96">
        <v>3</v>
      </c>
      <c r="L26" s="96">
        <v>5</v>
      </c>
      <c r="M26" s="96">
        <v>5</v>
      </c>
      <c r="N26" s="96">
        <v>1</v>
      </c>
      <c r="O26" s="96">
        <v>3</v>
      </c>
      <c r="P26" s="96">
        <v>1</v>
      </c>
      <c r="Q26" s="96" t="s">
        <v>401</v>
      </c>
      <c r="R26" s="96" t="s">
        <v>400</v>
      </c>
      <c r="S26" s="96">
        <v>5</v>
      </c>
      <c r="T26" s="96"/>
      <c r="U26" s="96"/>
      <c r="V26" s="96">
        <v>2</v>
      </c>
      <c r="W26" s="96">
        <v>1</v>
      </c>
      <c r="X26" s="96"/>
      <c r="Y26" s="96"/>
      <c r="Z26" s="96"/>
      <c r="AA26" s="194"/>
      <c r="AB26" s="96">
        <f>ROUNDUP(AVERAGE(Table13[[#This Row],[% of population in sites with access to functioning complaints and feedback mechanisms]:[% of population in sites/communities reporting protection incidents in the last 3 months]]),0)</f>
        <v>3</v>
      </c>
      <c r="AC26"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26" s="59">
        <f>Table1345[[#This Row],[FSC Severity]]</f>
        <v>3</v>
      </c>
      <c r="AF26" s="59">
        <f>Table1345[[#This Row],[Education Severity]]</f>
        <v>0</v>
      </c>
      <c r="AG26" s="59" t="str">
        <f>Table1345[[#This Row],[Nutrition Severity]]</f>
        <v>4</v>
      </c>
      <c r="AH26" s="59">
        <f>Table1345[[#This Row],[WASH_Severity]]</f>
        <v>2</v>
      </c>
      <c r="AI26" s="59">
        <f>Table1345[[#This Row],[Health Severity]]</f>
        <v>2</v>
      </c>
      <c r="AJ26" s="59">
        <f>Table1345[[#This Row],[Protection/GBV Severity]]</f>
        <v>4</v>
      </c>
      <c r="AK26" s="59">
        <f>Table1345[[#This Row],[CP_Severity]]</f>
        <v>1</v>
      </c>
      <c r="AL26" s="59">
        <f>Table1345[[#This Row],[Shelter/NFIs Severity]]</f>
        <v>0</v>
      </c>
      <c r="AM26" s="59">
        <f>Table1345[[#This Row],[CCCM_Severity]]</f>
        <v>0</v>
      </c>
    </row>
    <row r="27" spans="1:39" x14ac:dyDescent="0.2">
      <c r="A27" s="95" t="s">
        <v>15</v>
      </c>
      <c r="B27" s="95" t="s">
        <v>20</v>
      </c>
      <c r="C27" s="96"/>
      <c r="D27" s="96"/>
      <c r="E27" s="96">
        <v>3</v>
      </c>
      <c r="F27" s="96">
        <v>3</v>
      </c>
      <c r="G27" s="96">
        <v>3</v>
      </c>
      <c r="H27" s="96">
        <v>4</v>
      </c>
      <c r="I27" s="96">
        <v>1</v>
      </c>
      <c r="J27" s="96">
        <v>5</v>
      </c>
      <c r="K27" s="96">
        <v>3</v>
      </c>
      <c r="L27" s="96">
        <v>5</v>
      </c>
      <c r="M27" s="96">
        <v>5</v>
      </c>
      <c r="N27" s="96">
        <v>2</v>
      </c>
      <c r="O27" s="96">
        <v>2</v>
      </c>
      <c r="P27" s="96">
        <v>2</v>
      </c>
      <c r="Q27" s="96" t="s">
        <v>401</v>
      </c>
      <c r="R27" s="96" t="s">
        <v>401</v>
      </c>
      <c r="S27" s="96">
        <v>5</v>
      </c>
      <c r="T27" s="96"/>
      <c r="U27" s="96"/>
      <c r="V27" s="96">
        <v>2</v>
      </c>
      <c r="W27" s="96">
        <v>2</v>
      </c>
      <c r="X27" s="96"/>
      <c r="Y27" s="96"/>
      <c r="Z27" s="96"/>
      <c r="AA27" s="194"/>
      <c r="AB27" s="96">
        <f>ROUNDUP(AVERAGE(Table13[[#This Row],[% of population in sites with access to functioning complaints and feedback mechanisms]:[% of population in sites/communities reporting protection incidents in the last 3 months]]),0)</f>
        <v>4</v>
      </c>
      <c r="AC27"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27" s="59">
        <f>Table1345[[#This Row],[FSC Severity]]</f>
        <v>3</v>
      </c>
      <c r="AF27" s="59">
        <f>Table1345[[#This Row],[Education Severity]]</f>
        <v>5</v>
      </c>
      <c r="AG27" s="59" t="str">
        <f>Table1345[[#This Row],[Nutrition Severity]]</f>
        <v>2</v>
      </c>
      <c r="AH27" s="59">
        <f>Table1345[[#This Row],[WASH_Severity]]</f>
        <v>2</v>
      </c>
      <c r="AI27" s="59">
        <f>Table1345[[#This Row],[Health Severity]]</f>
        <v>2</v>
      </c>
      <c r="AJ27" s="59">
        <f>Table1345[[#This Row],[Protection/GBV Severity]]</f>
        <v>4</v>
      </c>
      <c r="AK27" s="59">
        <f>Table1345[[#This Row],[CP_Severity]]</f>
        <v>3</v>
      </c>
      <c r="AL27" s="59">
        <f>Table1345[[#This Row],[Shelter/NFIs Severity]]</f>
        <v>0</v>
      </c>
      <c r="AM27" s="59">
        <f>Table1345[[#This Row],[CCCM_Severity]]</f>
        <v>0</v>
      </c>
    </row>
    <row r="28" spans="1:39" x14ac:dyDescent="0.2">
      <c r="A28" s="95" t="s">
        <v>15</v>
      </c>
      <c r="B28" s="95" t="s">
        <v>21</v>
      </c>
      <c r="C28" s="96"/>
      <c r="D28" s="96"/>
      <c r="E28" s="96">
        <v>2</v>
      </c>
      <c r="F28" s="96">
        <v>2</v>
      </c>
      <c r="G28" s="96">
        <v>2</v>
      </c>
      <c r="H28" s="96">
        <v>3</v>
      </c>
      <c r="I28" s="96">
        <v>1</v>
      </c>
      <c r="J28" s="96">
        <v>2</v>
      </c>
      <c r="K28" s="96">
        <v>3</v>
      </c>
      <c r="L28" s="96">
        <v>5</v>
      </c>
      <c r="M28" s="96">
        <v>5</v>
      </c>
      <c r="N28" s="96">
        <v>2</v>
      </c>
      <c r="O28" s="96">
        <v>3</v>
      </c>
      <c r="P28" s="96">
        <v>2</v>
      </c>
      <c r="Q28" s="96" t="s">
        <v>400</v>
      </c>
      <c r="R28" s="96" t="s">
        <v>400</v>
      </c>
      <c r="S28" s="96">
        <v>5</v>
      </c>
      <c r="T28" s="96"/>
      <c r="U28" s="96"/>
      <c r="V28" s="96">
        <v>2</v>
      </c>
      <c r="W28" s="96">
        <v>2</v>
      </c>
      <c r="X28" s="96"/>
      <c r="Y28" s="96"/>
      <c r="Z28" s="96"/>
      <c r="AA28" s="194"/>
      <c r="AB28" s="96">
        <f>ROUNDUP(AVERAGE(Table13[[#This Row],[% of population in sites with access to functioning complaints and feedback mechanisms]:[% of population in sites/communities reporting protection incidents in the last 3 months]]),0)</f>
        <v>3</v>
      </c>
      <c r="AC28"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28" s="59">
        <f>Table1345[[#This Row],[FSC Severity]]</f>
        <v>3</v>
      </c>
      <c r="AF28" s="59">
        <f>Table1345[[#This Row],[Education Severity]]</f>
        <v>3</v>
      </c>
      <c r="AG28" s="59" t="str">
        <f>Table1345[[#This Row],[Nutrition Severity]]</f>
        <v>2</v>
      </c>
      <c r="AH28" s="59">
        <f>Table1345[[#This Row],[WASH_Severity]]</f>
        <v>2</v>
      </c>
      <c r="AI28" s="59">
        <f>Table1345[[#This Row],[Health Severity]]</f>
        <v>3</v>
      </c>
      <c r="AJ28" s="59">
        <f>Table1345[[#This Row],[Protection/GBV Severity]]</f>
        <v>4</v>
      </c>
      <c r="AK28" s="59">
        <f>Table1345[[#This Row],[CP_Severity]]</f>
        <v>2</v>
      </c>
      <c r="AL28" s="59">
        <f>Table1345[[#This Row],[Shelter/NFIs Severity]]</f>
        <v>0</v>
      </c>
      <c r="AM28" s="59">
        <f>Table1345[[#This Row],[CCCM_Severity]]</f>
        <v>0</v>
      </c>
    </row>
    <row r="29" spans="1:39" x14ac:dyDescent="0.2">
      <c r="A29" s="95" t="s">
        <v>25</v>
      </c>
      <c r="B29" s="95" t="s">
        <v>26</v>
      </c>
      <c r="C29" s="96"/>
      <c r="D29" s="96"/>
      <c r="E29" s="96">
        <v>2</v>
      </c>
      <c r="F29" s="96">
        <v>3</v>
      </c>
      <c r="G29" s="96">
        <v>3</v>
      </c>
      <c r="H29" s="96">
        <v>3</v>
      </c>
      <c r="I29" s="96">
        <v>1</v>
      </c>
      <c r="J29" s="96">
        <v>3</v>
      </c>
      <c r="K29" s="96">
        <v>3</v>
      </c>
      <c r="L29" s="96">
        <v>4</v>
      </c>
      <c r="M29" s="96">
        <v>5</v>
      </c>
      <c r="N29" s="96">
        <v>3</v>
      </c>
      <c r="O29" s="96">
        <v>3</v>
      </c>
      <c r="P29" s="96">
        <v>2</v>
      </c>
      <c r="Q29" s="96" t="s">
        <v>399</v>
      </c>
      <c r="R29" s="96" t="s">
        <v>399</v>
      </c>
      <c r="S29" s="96">
        <v>5</v>
      </c>
      <c r="T29" s="96"/>
      <c r="U29" s="96"/>
      <c r="V29" s="96">
        <v>2</v>
      </c>
      <c r="W29" s="96">
        <v>2</v>
      </c>
      <c r="X29" s="96"/>
      <c r="Y29" s="96"/>
      <c r="Z29" s="96"/>
      <c r="AA29" s="194"/>
      <c r="AB29" s="96">
        <f>ROUNDUP(AVERAGE(Table13[[#This Row],[% of population in sites with access to functioning complaints and feedback mechanisms]:[% of population in sites/communities reporting protection incidents in the last 3 months]]),0)</f>
        <v>3</v>
      </c>
      <c r="AC29"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29" s="59">
        <f>Table1345[[#This Row],[FSC Severity]]</f>
        <v>3</v>
      </c>
      <c r="AF29" s="59">
        <f>Table1345[[#This Row],[Education Severity]]</f>
        <v>3</v>
      </c>
      <c r="AG29" s="59" t="str">
        <f>Table1345[[#This Row],[Nutrition Severity]]</f>
        <v>1</v>
      </c>
      <c r="AH29" s="59">
        <f>Table1345[[#This Row],[WASH_Severity]]</f>
        <v>2</v>
      </c>
      <c r="AI29" s="59">
        <f>Table1345[[#This Row],[Health Severity]]</f>
        <v>3</v>
      </c>
      <c r="AJ29" s="59">
        <f>Table1345[[#This Row],[Protection/GBV Severity]]</f>
        <v>3.5</v>
      </c>
      <c r="AK29" s="59">
        <f>Table1345[[#This Row],[CP_Severity]]</f>
        <v>2.6666666666666665</v>
      </c>
      <c r="AL29" s="59">
        <f>Table1345[[#This Row],[Shelter/NFIs Severity]]</f>
        <v>0</v>
      </c>
      <c r="AM29" s="59">
        <f>Table1345[[#This Row],[CCCM_Severity]]</f>
        <v>0</v>
      </c>
    </row>
    <row r="30" spans="1:39" x14ac:dyDescent="0.2">
      <c r="A30" s="95" t="s">
        <v>25</v>
      </c>
      <c r="B30" s="95" t="s">
        <v>27</v>
      </c>
      <c r="C30" s="96"/>
      <c r="D30" s="96"/>
      <c r="E30" s="96">
        <v>3</v>
      </c>
      <c r="F30" s="96">
        <v>2</v>
      </c>
      <c r="G30" s="96">
        <v>2</v>
      </c>
      <c r="H30" s="96">
        <v>4</v>
      </c>
      <c r="I30" s="96">
        <v>1</v>
      </c>
      <c r="J30" s="96">
        <v>3</v>
      </c>
      <c r="K30" s="96">
        <v>3</v>
      </c>
      <c r="L30" s="96">
        <v>4</v>
      </c>
      <c r="M30" s="96">
        <v>5</v>
      </c>
      <c r="N30" s="96">
        <v>4</v>
      </c>
      <c r="O30" s="96">
        <v>3</v>
      </c>
      <c r="P30" s="96">
        <v>2</v>
      </c>
      <c r="Q30" s="96" t="s">
        <v>400</v>
      </c>
      <c r="R30" s="96" t="s">
        <v>400</v>
      </c>
      <c r="S30" s="96">
        <v>5</v>
      </c>
      <c r="T30" s="96"/>
      <c r="U30" s="96"/>
      <c r="V30" s="96">
        <v>2</v>
      </c>
      <c r="W30" s="96">
        <v>1</v>
      </c>
      <c r="X30" s="96"/>
      <c r="Y30" s="96"/>
      <c r="Z30" s="96"/>
      <c r="AA30" s="194"/>
      <c r="AB30" s="96">
        <f>ROUNDUP(AVERAGE(Table13[[#This Row],[% of population in sites with access to functioning complaints and feedback mechanisms]:[% of population in sites/communities reporting protection incidents in the last 3 months]]),0)</f>
        <v>3</v>
      </c>
      <c r="AC30"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4</v>
      </c>
      <c r="AE30" s="59">
        <f>Table1345[[#This Row],[FSC Severity]]</f>
        <v>3</v>
      </c>
      <c r="AF30" s="59">
        <f>Table1345[[#This Row],[Education Severity]]</f>
        <v>4</v>
      </c>
      <c r="AG30" s="59" t="str">
        <f>Table1345[[#This Row],[Nutrition Severity]]</f>
        <v>1</v>
      </c>
      <c r="AH30" s="59">
        <f>Table1345[[#This Row],[WASH_Severity]]</f>
        <v>2</v>
      </c>
      <c r="AI30" s="59">
        <f>Table1345[[#This Row],[Health Severity]]</f>
        <v>3</v>
      </c>
      <c r="AJ30" s="59">
        <f>Table1345[[#This Row],[Protection/GBV Severity]]</f>
        <v>3.5</v>
      </c>
      <c r="AK30" s="59">
        <f>Table1345[[#This Row],[CP_Severity]]</f>
        <v>3</v>
      </c>
      <c r="AL30" s="59">
        <f>Table1345[[#This Row],[Shelter/NFIs Severity]]</f>
        <v>0</v>
      </c>
      <c r="AM30" s="59">
        <f>Table1345[[#This Row],[CCCM_Severity]]</f>
        <v>0</v>
      </c>
    </row>
    <row r="31" spans="1:39" x14ac:dyDescent="0.2">
      <c r="A31" s="95" t="s">
        <v>25</v>
      </c>
      <c r="B31" s="95" t="s">
        <v>28</v>
      </c>
      <c r="C31" s="96"/>
      <c r="D31" s="96"/>
      <c r="E31" s="96">
        <v>2</v>
      </c>
      <c r="F31" s="96">
        <v>2</v>
      </c>
      <c r="G31" s="96">
        <v>2</v>
      </c>
      <c r="H31" s="96">
        <v>3</v>
      </c>
      <c r="I31" s="96">
        <v>1</v>
      </c>
      <c r="J31" s="96">
        <v>2</v>
      </c>
      <c r="K31" s="96">
        <v>3</v>
      </c>
      <c r="L31" s="96">
        <v>4</v>
      </c>
      <c r="M31" s="96">
        <v>5</v>
      </c>
      <c r="N31" s="96">
        <v>2</v>
      </c>
      <c r="O31" s="96">
        <v>2</v>
      </c>
      <c r="P31" s="96">
        <v>1</v>
      </c>
      <c r="Q31" s="96" t="s">
        <v>400</v>
      </c>
      <c r="R31" s="96" t="s">
        <v>400</v>
      </c>
      <c r="S31" s="96">
        <v>5</v>
      </c>
      <c r="T31" s="96"/>
      <c r="U31" s="96"/>
      <c r="V31" s="96">
        <v>2</v>
      </c>
      <c r="W31" s="96">
        <v>2</v>
      </c>
      <c r="X31" s="96"/>
      <c r="Y31" s="96"/>
      <c r="Z31" s="96"/>
      <c r="AA31" s="194"/>
      <c r="AB31" s="96">
        <f>ROUNDUP(AVERAGE(Table13[[#This Row],[% of population in sites with access to functioning complaints and feedback mechanisms]:[% of population in sites/communities reporting protection incidents in the last 3 months]]),0)</f>
        <v>3</v>
      </c>
      <c r="AC31"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31" s="59">
        <f>Table1345[[#This Row],[FSC Severity]]</f>
        <v>3</v>
      </c>
      <c r="AF31" s="59">
        <f>Table1345[[#This Row],[Education Severity]]</f>
        <v>3</v>
      </c>
      <c r="AG31" s="59" t="str">
        <f>Table1345[[#This Row],[Nutrition Severity]]</f>
        <v>1</v>
      </c>
      <c r="AH31" s="59">
        <f>Table1345[[#This Row],[WASH_Severity]]</f>
        <v>2</v>
      </c>
      <c r="AI31" s="59">
        <f>Table1345[[#This Row],[Health Severity]]</f>
        <v>2</v>
      </c>
      <c r="AJ31" s="59">
        <f>Table1345[[#This Row],[Protection/GBV Severity]]</f>
        <v>3.5</v>
      </c>
      <c r="AK31" s="59">
        <f>Table1345[[#This Row],[CP_Severity]]</f>
        <v>2</v>
      </c>
      <c r="AL31" s="59">
        <f>Table1345[[#This Row],[Shelter/NFIs Severity]]</f>
        <v>0</v>
      </c>
      <c r="AM31" s="59">
        <f>Table1345[[#This Row],[CCCM_Severity]]</f>
        <v>0</v>
      </c>
    </row>
    <row r="32" spans="1:39" x14ac:dyDescent="0.2">
      <c r="A32" s="95" t="s">
        <v>25</v>
      </c>
      <c r="B32" s="95" t="s">
        <v>102</v>
      </c>
      <c r="C32" s="96"/>
      <c r="D32" s="96"/>
      <c r="E32" s="96">
        <v>2</v>
      </c>
      <c r="F32" s="96">
        <v>2</v>
      </c>
      <c r="G32" s="96">
        <v>2</v>
      </c>
      <c r="H32" s="96">
        <v>3</v>
      </c>
      <c r="I32" s="96">
        <v>1</v>
      </c>
      <c r="J32" s="96">
        <v>4</v>
      </c>
      <c r="K32" s="96">
        <v>3</v>
      </c>
      <c r="L32" s="96">
        <v>4</v>
      </c>
      <c r="M32" s="96">
        <v>5</v>
      </c>
      <c r="N32" s="96">
        <v>3</v>
      </c>
      <c r="O32" s="96">
        <v>2</v>
      </c>
      <c r="P32" s="96">
        <v>2</v>
      </c>
      <c r="Q32" s="96" t="s">
        <v>399</v>
      </c>
      <c r="R32" s="96" t="s">
        <v>399</v>
      </c>
      <c r="S32" s="96">
        <v>5</v>
      </c>
      <c r="T32" s="96"/>
      <c r="U32" s="96"/>
      <c r="V32" s="96">
        <v>2</v>
      </c>
      <c r="W32" s="96">
        <v>1</v>
      </c>
      <c r="X32" s="96"/>
      <c r="Y32" s="96"/>
      <c r="Z32" s="96"/>
      <c r="AA32" s="194"/>
      <c r="AB32" s="96">
        <f>ROUNDUP(AVERAGE(Table13[[#This Row],[% of population in sites with access to functioning complaints and feedback mechanisms]:[% of population in sites/communities reporting protection incidents in the last 3 months]]),0)</f>
        <v>3</v>
      </c>
      <c r="AC32"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32" s="59">
        <f>Table1345[[#This Row],[FSC Severity]]</f>
        <v>3</v>
      </c>
      <c r="AF32" s="59">
        <f>Table1345[[#This Row],[Education Severity]]</f>
        <v>4</v>
      </c>
      <c r="AG32" s="59" t="str">
        <f>Table1345[[#This Row],[Nutrition Severity]]</f>
        <v>3</v>
      </c>
      <c r="AH32" s="59">
        <f>Table1345[[#This Row],[WASH_Severity]]</f>
        <v>2</v>
      </c>
      <c r="AI32" s="59">
        <f>Table1345[[#This Row],[Health Severity]]</f>
        <v>3</v>
      </c>
      <c r="AJ32" s="59">
        <f>Table1345[[#This Row],[Protection/GBV Severity]]</f>
        <v>3.5</v>
      </c>
      <c r="AK32" s="59">
        <f>Table1345[[#This Row],[CP_Severity]]</f>
        <v>2</v>
      </c>
      <c r="AL32" s="59">
        <f>Table1345[[#This Row],[Shelter/NFIs Severity]]</f>
        <v>0</v>
      </c>
      <c r="AM32" s="59">
        <f>Table1345[[#This Row],[CCCM_Severity]]</f>
        <v>0</v>
      </c>
    </row>
    <row r="33" spans="1:39" x14ac:dyDescent="0.2">
      <c r="A33" s="95" t="s">
        <v>25</v>
      </c>
      <c r="B33" s="95" t="s">
        <v>33</v>
      </c>
      <c r="C33" s="96"/>
      <c r="D33" s="96"/>
      <c r="E33" s="96"/>
      <c r="F33" s="96">
        <v>1</v>
      </c>
      <c r="G33" s="96">
        <v>1</v>
      </c>
      <c r="H33" s="96"/>
      <c r="I33" s="96"/>
      <c r="J33" s="96"/>
      <c r="K33" s="96">
        <v>3</v>
      </c>
      <c r="L33" s="96">
        <v>4</v>
      </c>
      <c r="M33" s="96">
        <v>5</v>
      </c>
      <c r="N33" s="96">
        <v>3</v>
      </c>
      <c r="O33" s="96">
        <v>2</v>
      </c>
      <c r="P33" s="96">
        <v>2</v>
      </c>
      <c r="Q33" s="96" t="s">
        <v>399</v>
      </c>
      <c r="R33" s="96" t="s">
        <v>400</v>
      </c>
      <c r="S33" s="96">
        <v>5</v>
      </c>
      <c r="T33" s="96"/>
      <c r="U33" s="96"/>
      <c r="V33" s="96">
        <v>2</v>
      </c>
      <c r="W33" s="96">
        <v>1</v>
      </c>
      <c r="X33" s="96"/>
      <c r="Y33" s="96"/>
      <c r="Z33" s="96"/>
      <c r="AA33" s="194"/>
      <c r="AB33" s="96">
        <f>ROUNDUP(AVERAGE(Table13[[#This Row],[% of population in sites with access to functioning complaints and feedback mechanisms]:[% of population in sites/communities reporting protection incidents in the last 3 months]]),0)</f>
        <v>3</v>
      </c>
      <c r="AC33"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33" s="59">
        <f>Table1345[[#This Row],[FSC Severity]]</f>
        <v>3</v>
      </c>
      <c r="AF33" s="59">
        <f>Table1345[[#This Row],[Education Severity]]</f>
        <v>0</v>
      </c>
      <c r="AG33" s="59" t="str">
        <f>Table1345[[#This Row],[Nutrition Severity]]</f>
        <v>3</v>
      </c>
      <c r="AH33" s="59">
        <f>Table1345[[#This Row],[WASH_Severity]]</f>
        <v>2</v>
      </c>
      <c r="AI33" s="59">
        <f>Table1345[[#This Row],[Health Severity]]</f>
        <v>3</v>
      </c>
      <c r="AJ33" s="59">
        <f>Table1345[[#This Row],[Protection/GBV Severity]]</f>
        <v>3.5</v>
      </c>
      <c r="AK33" s="59">
        <f>Table1345[[#This Row],[CP_Severity]]</f>
        <v>1</v>
      </c>
      <c r="AL33" s="59">
        <f>Table1345[[#This Row],[Shelter/NFIs Severity]]</f>
        <v>0</v>
      </c>
      <c r="AM33" s="59">
        <f>Table1345[[#This Row],[CCCM_Severity]]</f>
        <v>0</v>
      </c>
    </row>
    <row r="34" spans="1:39" x14ac:dyDescent="0.2">
      <c r="A34" s="95" t="s">
        <v>25</v>
      </c>
      <c r="B34" s="95" t="s">
        <v>29</v>
      </c>
      <c r="C34" s="96"/>
      <c r="D34" s="96"/>
      <c r="E34" s="96">
        <v>3</v>
      </c>
      <c r="F34" s="96">
        <v>3</v>
      </c>
      <c r="G34" s="96">
        <v>3</v>
      </c>
      <c r="H34" s="96">
        <v>4</v>
      </c>
      <c r="I34" s="96">
        <v>1</v>
      </c>
      <c r="J34" s="96">
        <v>3</v>
      </c>
      <c r="K34" s="96">
        <v>3</v>
      </c>
      <c r="L34" s="96">
        <v>4</v>
      </c>
      <c r="M34" s="96">
        <v>5</v>
      </c>
      <c r="N34" s="96">
        <v>2</v>
      </c>
      <c r="O34" s="96">
        <v>3</v>
      </c>
      <c r="P34" s="96">
        <v>1</v>
      </c>
      <c r="Q34" s="96" t="s">
        <v>402</v>
      </c>
      <c r="R34" s="96" t="s">
        <v>402</v>
      </c>
      <c r="S34" s="96">
        <v>5</v>
      </c>
      <c r="T34" s="96"/>
      <c r="U34" s="96"/>
      <c r="V34" s="96">
        <v>2</v>
      </c>
      <c r="W34" s="96">
        <v>3</v>
      </c>
      <c r="X34" s="96"/>
      <c r="Y34" s="96"/>
      <c r="Z34" s="96"/>
      <c r="AA34" s="194"/>
      <c r="AB34" s="96">
        <f>ROUNDUP(AVERAGE(Table13[[#This Row],[% of population in sites with access to functioning complaints and feedback mechanisms]:[% of population in sites/communities reporting protection incidents in the last 3 months]]),0)</f>
        <v>3</v>
      </c>
      <c r="AC34"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34" s="59">
        <f>Table1345[[#This Row],[FSC Severity]]</f>
        <v>3</v>
      </c>
      <c r="AF34" s="59">
        <f>Table1345[[#This Row],[Education Severity]]</f>
        <v>4</v>
      </c>
      <c r="AG34" s="59" t="str">
        <f>Table1345[[#This Row],[Nutrition Severity]]</f>
        <v>4</v>
      </c>
      <c r="AH34" s="59">
        <f>Table1345[[#This Row],[WASH_Severity]]</f>
        <v>3</v>
      </c>
      <c r="AI34" s="59">
        <f>Table1345[[#This Row],[Health Severity]]</f>
        <v>2</v>
      </c>
      <c r="AJ34" s="59">
        <f>Table1345[[#This Row],[Protection/GBV Severity]]</f>
        <v>3.5</v>
      </c>
      <c r="AK34" s="59">
        <f>Table1345[[#This Row],[CP_Severity]]</f>
        <v>3</v>
      </c>
      <c r="AL34" s="59">
        <f>Table1345[[#This Row],[Shelter/NFIs Severity]]</f>
        <v>0</v>
      </c>
      <c r="AM34" s="59">
        <f>Table1345[[#This Row],[CCCM_Severity]]</f>
        <v>0</v>
      </c>
    </row>
    <row r="35" spans="1:39" x14ac:dyDescent="0.2">
      <c r="A35" s="95" t="s">
        <v>25</v>
      </c>
      <c r="B35" s="95" t="s">
        <v>30</v>
      </c>
      <c r="C35" s="96"/>
      <c r="D35" s="96"/>
      <c r="E35" s="96">
        <v>3</v>
      </c>
      <c r="F35" s="96">
        <v>2</v>
      </c>
      <c r="G35" s="96">
        <v>2</v>
      </c>
      <c r="H35" s="96">
        <v>4</v>
      </c>
      <c r="I35" s="96">
        <v>1</v>
      </c>
      <c r="J35" s="96">
        <v>2</v>
      </c>
      <c r="K35" s="96">
        <v>3</v>
      </c>
      <c r="L35" s="96">
        <v>4</v>
      </c>
      <c r="M35" s="96">
        <v>5</v>
      </c>
      <c r="N35" s="96">
        <v>2</v>
      </c>
      <c r="O35" s="96">
        <v>4</v>
      </c>
      <c r="P35" s="96">
        <v>2</v>
      </c>
      <c r="Q35" s="96" t="s">
        <v>401</v>
      </c>
      <c r="R35" s="96" t="s">
        <v>400</v>
      </c>
      <c r="S35" s="96">
        <v>5</v>
      </c>
      <c r="T35" s="96"/>
      <c r="U35" s="96"/>
      <c r="V35" s="96">
        <v>2</v>
      </c>
      <c r="W35" s="96">
        <v>1</v>
      </c>
      <c r="X35" s="96"/>
      <c r="Y35" s="96"/>
      <c r="Z35" s="96"/>
      <c r="AA35" s="194"/>
      <c r="AB35" s="96">
        <f>ROUNDUP(AVERAGE(Table13[[#This Row],[% of population in sites with access to functioning complaints and feedback mechanisms]:[% of population in sites/communities reporting protection incidents in the last 3 months]]),0)</f>
        <v>3</v>
      </c>
      <c r="AC35"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35" s="59">
        <f>Table1345[[#This Row],[FSC Severity]]</f>
        <v>3</v>
      </c>
      <c r="AF35" s="59">
        <f>Table1345[[#This Row],[Education Severity]]</f>
        <v>3</v>
      </c>
      <c r="AG35" s="59" t="str">
        <f>Table1345[[#This Row],[Nutrition Severity]]</f>
        <v>2</v>
      </c>
      <c r="AH35" s="59">
        <f>Table1345[[#This Row],[WASH_Severity]]</f>
        <v>2</v>
      </c>
      <c r="AI35" s="59">
        <f>Table1345[[#This Row],[Health Severity]]</f>
        <v>3</v>
      </c>
      <c r="AJ35" s="59">
        <f>Table1345[[#This Row],[Protection/GBV Severity]]</f>
        <v>3.5</v>
      </c>
      <c r="AK35" s="59">
        <f>Table1345[[#This Row],[CP_Severity]]</f>
        <v>3</v>
      </c>
      <c r="AL35" s="59">
        <f>Table1345[[#This Row],[Shelter/NFIs Severity]]</f>
        <v>0</v>
      </c>
      <c r="AM35" s="59">
        <f>Table1345[[#This Row],[CCCM_Severity]]</f>
        <v>0</v>
      </c>
    </row>
    <row r="36" spans="1:39" x14ac:dyDescent="0.2">
      <c r="A36" s="95" t="s">
        <v>25</v>
      </c>
      <c r="B36" s="95" t="s">
        <v>31</v>
      </c>
      <c r="C36" s="96"/>
      <c r="D36" s="96"/>
      <c r="E36" s="96">
        <v>2</v>
      </c>
      <c r="F36" s="96">
        <v>3</v>
      </c>
      <c r="G36" s="96">
        <v>3</v>
      </c>
      <c r="H36" s="96">
        <v>4</v>
      </c>
      <c r="I36" s="96">
        <v>1</v>
      </c>
      <c r="J36" s="96">
        <v>4</v>
      </c>
      <c r="K36" s="96">
        <v>3</v>
      </c>
      <c r="L36" s="96">
        <v>4</v>
      </c>
      <c r="M36" s="96">
        <v>5</v>
      </c>
      <c r="N36" s="96">
        <v>2</v>
      </c>
      <c r="O36" s="96">
        <v>3</v>
      </c>
      <c r="P36" s="96">
        <v>2</v>
      </c>
      <c r="Q36" s="96" t="s">
        <v>401</v>
      </c>
      <c r="R36" s="96" t="s">
        <v>401</v>
      </c>
      <c r="S36" s="96">
        <v>5</v>
      </c>
      <c r="T36" s="96"/>
      <c r="U36" s="96"/>
      <c r="V36" s="96">
        <v>3</v>
      </c>
      <c r="W36" s="96">
        <v>2</v>
      </c>
      <c r="X36" s="96"/>
      <c r="Y36" s="96"/>
      <c r="Z36" s="96"/>
      <c r="AA36" s="194"/>
      <c r="AB36" s="96">
        <f>ROUNDUP(AVERAGE(Table13[[#This Row],[% of population in sites with access to functioning complaints and feedback mechanisms]:[% of population in sites/communities reporting protection incidents in the last 3 months]]),0)</f>
        <v>4</v>
      </c>
      <c r="AC36"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36" s="59">
        <f>Table1345[[#This Row],[FSC Severity]]</f>
        <v>3</v>
      </c>
      <c r="AF36" s="59">
        <f>Table1345[[#This Row],[Education Severity]]</f>
        <v>4</v>
      </c>
      <c r="AG36" s="59" t="str">
        <f>Table1345[[#This Row],[Nutrition Severity]]</f>
        <v>2</v>
      </c>
      <c r="AH36" s="59">
        <f>Table1345[[#This Row],[WASH_Severity]]</f>
        <v>3</v>
      </c>
      <c r="AI36" s="59">
        <f>Table1345[[#This Row],[Health Severity]]</f>
        <v>3</v>
      </c>
      <c r="AJ36" s="59">
        <f>Table1345[[#This Row],[Protection/GBV Severity]]</f>
        <v>3.5</v>
      </c>
      <c r="AK36" s="59">
        <f>Table1345[[#This Row],[CP_Severity]]</f>
        <v>2.6666666666666665</v>
      </c>
      <c r="AL36" s="59">
        <f>Table1345[[#This Row],[Shelter/NFIs Severity]]</f>
        <v>0</v>
      </c>
      <c r="AM36" s="59">
        <f>Table1345[[#This Row],[CCCM_Severity]]</f>
        <v>0</v>
      </c>
    </row>
    <row r="37" spans="1:39" x14ac:dyDescent="0.2">
      <c r="A37" s="95" t="s">
        <v>25</v>
      </c>
      <c r="B37" s="95" t="s">
        <v>34</v>
      </c>
      <c r="C37" s="96"/>
      <c r="D37" s="96"/>
      <c r="E37" s="96"/>
      <c r="F37" s="96">
        <v>2</v>
      </c>
      <c r="G37" s="96">
        <v>1</v>
      </c>
      <c r="H37" s="96"/>
      <c r="I37" s="96"/>
      <c r="J37" s="96"/>
      <c r="K37" s="96">
        <v>3</v>
      </c>
      <c r="L37" s="96">
        <v>4</v>
      </c>
      <c r="M37" s="96">
        <v>5</v>
      </c>
      <c r="N37" s="96">
        <v>1</v>
      </c>
      <c r="O37" s="96">
        <v>3</v>
      </c>
      <c r="P37" s="96">
        <v>2</v>
      </c>
      <c r="Q37" s="96" t="s">
        <v>399</v>
      </c>
      <c r="R37" s="96" t="s">
        <v>400</v>
      </c>
      <c r="S37" s="96">
        <v>5</v>
      </c>
      <c r="T37" s="96"/>
      <c r="U37" s="96"/>
      <c r="V37" s="96">
        <v>3</v>
      </c>
      <c r="W37" s="96">
        <v>1</v>
      </c>
      <c r="X37" s="96"/>
      <c r="Y37" s="96"/>
      <c r="Z37" s="96"/>
      <c r="AA37" s="194"/>
      <c r="AB37" s="96">
        <f>ROUNDUP(AVERAGE(Table13[[#This Row],[% of population in sites with access to functioning complaints and feedback mechanisms]:[% of population in sites/communities reporting protection incidents in the last 3 months]]),0)</f>
        <v>3</v>
      </c>
      <c r="AC37"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37" s="59">
        <f>Table1345[[#This Row],[FSC Severity]]</f>
        <v>3</v>
      </c>
      <c r="AF37" s="59">
        <f>Table1345[[#This Row],[Education Severity]]</f>
        <v>0</v>
      </c>
      <c r="AG37" s="59" t="str">
        <f>Table1345[[#This Row],[Nutrition Severity]]</f>
        <v>3</v>
      </c>
      <c r="AH37" s="59">
        <f>Table1345[[#This Row],[WASH_Severity]]</f>
        <v>3</v>
      </c>
      <c r="AI37" s="59">
        <f>Table1345[[#This Row],[Health Severity]]</f>
        <v>2</v>
      </c>
      <c r="AJ37" s="59">
        <f>Table1345[[#This Row],[Protection/GBV Severity]]</f>
        <v>3.5</v>
      </c>
      <c r="AK37" s="59">
        <f>Table1345[[#This Row],[CP_Severity]]</f>
        <v>1.5</v>
      </c>
      <c r="AL37" s="59">
        <f>Table1345[[#This Row],[Shelter/NFIs Severity]]</f>
        <v>0</v>
      </c>
      <c r="AM37" s="59">
        <f>Table1345[[#This Row],[CCCM_Severity]]</f>
        <v>0</v>
      </c>
    </row>
    <row r="38" spans="1:39" x14ac:dyDescent="0.2">
      <c r="A38" s="95" t="s">
        <v>25</v>
      </c>
      <c r="B38" s="95" t="s">
        <v>32</v>
      </c>
      <c r="C38" s="96"/>
      <c r="D38" s="96"/>
      <c r="E38" s="96">
        <v>2</v>
      </c>
      <c r="F38" s="96">
        <v>2</v>
      </c>
      <c r="G38" s="96">
        <v>1</v>
      </c>
      <c r="H38" s="96">
        <v>3</v>
      </c>
      <c r="I38" s="96">
        <v>1</v>
      </c>
      <c r="J38" s="96">
        <v>3</v>
      </c>
      <c r="K38" s="96">
        <v>3</v>
      </c>
      <c r="L38" s="96">
        <v>4</v>
      </c>
      <c r="M38" s="96">
        <v>5</v>
      </c>
      <c r="N38" s="96">
        <v>1</v>
      </c>
      <c r="O38" s="96">
        <v>3</v>
      </c>
      <c r="P38" s="96">
        <v>2</v>
      </c>
      <c r="Q38" s="96" t="s">
        <v>402</v>
      </c>
      <c r="R38" s="96" t="s">
        <v>402</v>
      </c>
      <c r="S38" s="96">
        <v>5</v>
      </c>
      <c r="T38" s="96"/>
      <c r="U38" s="96"/>
      <c r="V38" s="96">
        <v>1</v>
      </c>
      <c r="W38" s="96">
        <v>2</v>
      </c>
      <c r="X38" s="96"/>
      <c r="Y38" s="96"/>
      <c r="Z38" s="96"/>
      <c r="AA38" s="194"/>
      <c r="AB38" s="96">
        <f>ROUNDUP(AVERAGE(Table13[[#This Row],[% of population in sites with access to functioning complaints and feedback mechanisms]:[% of population in sites/communities reporting protection incidents in the last 3 months]]),0)</f>
        <v>3</v>
      </c>
      <c r="AC38"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38" s="59">
        <f>Table1345[[#This Row],[FSC Severity]]</f>
        <v>3</v>
      </c>
      <c r="AF38" s="59">
        <f>Table1345[[#This Row],[Education Severity]]</f>
        <v>3</v>
      </c>
      <c r="AG38" s="59" t="str">
        <f>Table1345[[#This Row],[Nutrition Severity]]</f>
        <v>4</v>
      </c>
      <c r="AH38" s="59">
        <f>Table1345[[#This Row],[WASH_Severity]]</f>
        <v>2</v>
      </c>
      <c r="AI38" s="59">
        <f>Table1345[[#This Row],[Health Severity]]</f>
        <v>2</v>
      </c>
      <c r="AJ38" s="59">
        <f>Table1345[[#This Row],[Protection/GBV Severity]]</f>
        <v>3.5</v>
      </c>
      <c r="AK38" s="59">
        <f>Table1345[[#This Row],[CP_Severity]]</f>
        <v>1.6666666666666667</v>
      </c>
      <c r="AL38" s="59">
        <f>Table1345[[#This Row],[Shelter/NFIs Severity]]</f>
        <v>0</v>
      </c>
      <c r="AM38" s="59">
        <f>Table1345[[#This Row],[CCCM_Severity]]</f>
        <v>0</v>
      </c>
    </row>
    <row r="39" spans="1:39" x14ac:dyDescent="0.2">
      <c r="A39" s="95" t="s">
        <v>25</v>
      </c>
      <c r="B39" s="95" t="s">
        <v>101</v>
      </c>
      <c r="C39" s="96"/>
      <c r="D39" s="96"/>
      <c r="E39" s="96">
        <v>3</v>
      </c>
      <c r="F39" s="96">
        <v>3</v>
      </c>
      <c r="G39" s="96">
        <v>3</v>
      </c>
      <c r="H39" s="96">
        <v>4</v>
      </c>
      <c r="I39" s="96">
        <v>1</v>
      </c>
      <c r="J39" s="96">
        <v>3</v>
      </c>
      <c r="K39" s="96">
        <v>3</v>
      </c>
      <c r="L39" s="96">
        <v>4</v>
      </c>
      <c r="M39" s="96">
        <v>5</v>
      </c>
      <c r="N39" s="96">
        <v>4</v>
      </c>
      <c r="O39" s="96">
        <v>3</v>
      </c>
      <c r="P39" s="96">
        <v>3</v>
      </c>
      <c r="Q39" s="96" t="s">
        <v>400</v>
      </c>
      <c r="R39" s="96" t="s">
        <v>400</v>
      </c>
      <c r="S39" s="96">
        <v>5</v>
      </c>
      <c r="T39" s="96"/>
      <c r="U39" s="96"/>
      <c r="V39" s="96">
        <v>3</v>
      </c>
      <c r="W39" s="96">
        <v>3</v>
      </c>
      <c r="X39" s="96"/>
      <c r="Y39" s="96"/>
      <c r="Z39" s="96"/>
      <c r="AA39" s="194"/>
      <c r="AB39" s="96">
        <f>ROUNDUP(AVERAGE(Table13[[#This Row],[% of population in sites with access to functioning complaints and feedback mechanisms]:[% of population in sites/communities reporting protection incidents in the last 3 months]]),0)</f>
        <v>4</v>
      </c>
      <c r="AC39"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4</v>
      </c>
      <c r="AE39" s="59">
        <f>Table1345[[#This Row],[FSC Severity]]</f>
        <v>3</v>
      </c>
      <c r="AF39" s="59">
        <f>Table1345[[#This Row],[Education Severity]]</f>
        <v>4</v>
      </c>
      <c r="AG39" s="59" t="str">
        <f>Table1345[[#This Row],[Nutrition Severity]]</f>
        <v>1</v>
      </c>
      <c r="AH39" s="59">
        <f>Table1345[[#This Row],[WASH_Severity]]</f>
        <v>3</v>
      </c>
      <c r="AI39" s="59">
        <f>Table1345[[#This Row],[Health Severity]]</f>
        <v>4</v>
      </c>
      <c r="AJ39" s="59">
        <f>Table1345[[#This Row],[Protection/GBV Severity]]</f>
        <v>3.5</v>
      </c>
      <c r="AK39" s="59">
        <f>Table1345[[#This Row],[CP_Severity]]</f>
        <v>3</v>
      </c>
      <c r="AL39" s="59">
        <f>Table1345[[#This Row],[Shelter/NFIs Severity]]</f>
        <v>0</v>
      </c>
      <c r="AM39" s="59">
        <f>Table1345[[#This Row],[CCCM_Severity]]</f>
        <v>0</v>
      </c>
    </row>
    <row r="40" spans="1:39" x14ac:dyDescent="0.2">
      <c r="A40" s="95" t="s">
        <v>35</v>
      </c>
      <c r="B40" s="95" t="s">
        <v>99</v>
      </c>
      <c r="C40" s="96"/>
      <c r="D40" s="96"/>
      <c r="E40" s="96">
        <v>3</v>
      </c>
      <c r="F40" s="96">
        <v>2</v>
      </c>
      <c r="G40" s="96">
        <v>2</v>
      </c>
      <c r="H40" s="96">
        <v>4</v>
      </c>
      <c r="I40" s="96">
        <v>1</v>
      </c>
      <c r="J40" s="96">
        <v>3</v>
      </c>
      <c r="K40" s="96">
        <v>3</v>
      </c>
      <c r="L40" s="96">
        <v>3</v>
      </c>
      <c r="M40" s="96">
        <v>5</v>
      </c>
      <c r="N40" s="96">
        <v>4</v>
      </c>
      <c r="O40" s="96">
        <v>3</v>
      </c>
      <c r="P40" s="96">
        <v>3</v>
      </c>
      <c r="Q40" s="96" t="s">
        <v>401</v>
      </c>
      <c r="R40" s="96" t="s">
        <v>401</v>
      </c>
      <c r="S40" s="96">
        <v>5</v>
      </c>
      <c r="T40" s="96"/>
      <c r="U40" s="96"/>
      <c r="V40" s="96">
        <v>2</v>
      </c>
      <c r="W40" s="96">
        <v>2</v>
      </c>
      <c r="X40" s="96"/>
      <c r="Y40" s="96"/>
      <c r="Z40" s="96"/>
      <c r="AA40" s="194"/>
      <c r="AB40" s="96">
        <f>ROUNDUP(AVERAGE(Table13[[#This Row],[% of population in sites with access to functioning complaints and feedback mechanisms]:[% of population in sites/communities reporting protection incidents in the last 3 months]]),0)</f>
        <v>3</v>
      </c>
      <c r="AC40"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40" s="59">
        <f>Table1345[[#This Row],[FSC Severity]]</f>
        <v>3</v>
      </c>
      <c r="AF40" s="59">
        <f>Table1345[[#This Row],[Education Severity]]</f>
        <v>4</v>
      </c>
      <c r="AG40" s="59" t="str">
        <f>Table1345[[#This Row],[Nutrition Severity]]</f>
        <v>2</v>
      </c>
      <c r="AH40" s="59">
        <f>Table1345[[#This Row],[WASH_Severity]]</f>
        <v>2</v>
      </c>
      <c r="AI40" s="59">
        <f>Table1345[[#This Row],[Health Severity]]</f>
        <v>4</v>
      </c>
      <c r="AJ40" s="59">
        <f>Table1345[[#This Row],[Protection/GBV Severity]]</f>
        <v>3.5</v>
      </c>
      <c r="AK40" s="59">
        <f>Table1345[[#This Row],[CP_Severity]]</f>
        <v>3</v>
      </c>
      <c r="AL40" s="59">
        <f>Table1345[[#This Row],[Shelter/NFIs Severity]]</f>
        <v>0</v>
      </c>
      <c r="AM40" s="59">
        <f>Table1345[[#This Row],[CCCM_Severity]]</f>
        <v>0</v>
      </c>
    </row>
    <row r="41" spans="1:39" x14ac:dyDescent="0.2">
      <c r="A41" s="95" t="s">
        <v>35</v>
      </c>
      <c r="B41" s="95" t="s">
        <v>41</v>
      </c>
      <c r="C41" s="96"/>
      <c r="D41" s="96"/>
      <c r="E41" s="96"/>
      <c r="F41" s="96">
        <v>1</v>
      </c>
      <c r="G41" s="96">
        <v>1</v>
      </c>
      <c r="H41" s="96"/>
      <c r="I41" s="96"/>
      <c r="J41" s="96"/>
      <c r="K41" s="96">
        <v>3</v>
      </c>
      <c r="L41" s="96">
        <v>3</v>
      </c>
      <c r="M41" s="96">
        <v>5</v>
      </c>
      <c r="N41" s="96">
        <v>3</v>
      </c>
      <c r="O41" s="96">
        <v>2</v>
      </c>
      <c r="P41" s="96">
        <v>3</v>
      </c>
      <c r="Q41" s="96" t="s">
        <v>401</v>
      </c>
      <c r="R41" s="96" t="s">
        <v>400</v>
      </c>
      <c r="S41" s="96">
        <v>5</v>
      </c>
      <c r="T41" s="96"/>
      <c r="U41" s="96"/>
      <c r="V41" s="96">
        <v>1</v>
      </c>
      <c r="W41" s="96">
        <v>3</v>
      </c>
      <c r="X41" s="96"/>
      <c r="Y41" s="96"/>
      <c r="Z41" s="96"/>
      <c r="AA41" s="194"/>
      <c r="AB41" s="96">
        <f>ROUNDUP(AVERAGE(Table13[[#This Row],[% of population in sites with access to functioning complaints and feedback mechanisms]:[% of population in sites/communities reporting protection incidents in the last 3 months]]),0)</f>
        <v>3</v>
      </c>
      <c r="AC41"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41" s="59">
        <f>Table1345[[#This Row],[FSC Severity]]</f>
        <v>3</v>
      </c>
      <c r="AF41" s="59">
        <f>Table1345[[#This Row],[Education Severity]]</f>
        <v>0</v>
      </c>
      <c r="AG41" s="59" t="str">
        <f>Table1345[[#This Row],[Nutrition Severity]]</f>
        <v>2</v>
      </c>
      <c r="AH41" s="59">
        <f>Table1345[[#This Row],[WASH_Severity]]</f>
        <v>3</v>
      </c>
      <c r="AI41" s="59">
        <f>Table1345[[#This Row],[Health Severity]]</f>
        <v>3</v>
      </c>
      <c r="AJ41" s="59">
        <f>Table1345[[#This Row],[Protection/GBV Severity]]</f>
        <v>3.5</v>
      </c>
      <c r="AK41" s="59">
        <f>Table1345[[#This Row],[CP_Severity]]</f>
        <v>1</v>
      </c>
      <c r="AL41" s="59">
        <f>Table1345[[#This Row],[Shelter/NFIs Severity]]</f>
        <v>0</v>
      </c>
      <c r="AM41" s="59">
        <f>Table1345[[#This Row],[CCCM_Severity]]</f>
        <v>0</v>
      </c>
    </row>
    <row r="42" spans="1:39" x14ac:dyDescent="0.2">
      <c r="A42" s="95" t="s">
        <v>35</v>
      </c>
      <c r="B42" s="95" t="s">
        <v>40</v>
      </c>
      <c r="C42" s="96"/>
      <c r="D42" s="96"/>
      <c r="E42" s="96"/>
      <c r="F42" s="96">
        <v>1</v>
      </c>
      <c r="G42" s="96">
        <v>1</v>
      </c>
      <c r="H42" s="96"/>
      <c r="I42" s="96"/>
      <c r="J42" s="96"/>
      <c r="K42" s="96">
        <v>3</v>
      </c>
      <c r="L42" s="96">
        <v>3</v>
      </c>
      <c r="M42" s="96">
        <v>5</v>
      </c>
      <c r="N42" s="96">
        <v>1</v>
      </c>
      <c r="O42" s="96">
        <v>4</v>
      </c>
      <c r="P42" s="96">
        <v>2</v>
      </c>
      <c r="Q42" s="96" t="s">
        <v>399</v>
      </c>
      <c r="R42" s="96" t="s">
        <v>400</v>
      </c>
      <c r="S42" s="96">
        <v>5</v>
      </c>
      <c r="T42" s="96"/>
      <c r="U42" s="96"/>
      <c r="V42" s="96">
        <v>2</v>
      </c>
      <c r="W42" s="96">
        <v>2</v>
      </c>
      <c r="X42" s="96"/>
      <c r="Y42" s="96"/>
      <c r="Z42" s="96"/>
      <c r="AA42" s="194"/>
      <c r="AB42" s="96">
        <f>ROUNDUP(AVERAGE(Table13[[#This Row],[% of population in sites with access to functioning complaints and feedback mechanisms]:[% of population in sites/communities reporting protection incidents in the last 3 months]]),0)</f>
        <v>3</v>
      </c>
      <c r="AC42"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42" s="59">
        <f>Table1345[[#This Row],[FSC Severity]]</f>
        <v>3</v>
      </c>
      <c r="AF42" s="59">
        <f>Table1345[[#This Row],[Education Severity]]</f>
        <v>0</v>
      </c>
      <c r="AG42" s="59" t="str">
        <f>Table1345[[#This Row],[Nutrition Severity]]</f>
        <v>3</v>
      </c>
      <c r="AH42" s="59">
        <f>Table1345[[#This Row],[WASH_Severity]]</f>
        <v>2</v>
      </c>
      <c r="AI42" s="59">
        <f>Table1345[[#This Row],[Health Severity]]</f>
        <v>3</v>
      </c>
      <c r="AJ42" s="59">
        <f>Table1345[[#This Row],[Protection/GBV Severity]]</f>
        <v>3.5</v>
      </c>
      <c r="AK42" s="59">
        <f>Table1345[[#This Row],[CP_Severity]]</f>
        <v>1</v>
      </c>
      <c r="AL42" s="59">
        <f>Table1345[[#This Row],[Shelter/NFIs Severity]]</f>
        <v>0</v>
      </c>
      <c r="AM42" s="59">
        <f>Table1345[[#This Row],[CCCM_Severity]]</f>
        <v>0</v>
      </c>
    </row>
    <row r="43" spans="1:39" x14ac:dyDescent="0.2">
      <c r="A43" s="95" t="s">
        <v>35</v>
      </c>
      <c r="B43" s="95" t="s">
        <v>36</v>
      </c>
      <c r="C43" s="96"/>
      <c r="D43" s="96"/>
      <c r="E43" s="96">
        <v>3</v>
      </c>
      <c r="F43" s="96">
        <v>2</v>
      </c>
      <c r="G43" s="96">
        <v>2</v>
      </c>
      <c r="H43" s="96">
        <v>4</v>
      </c>
      <c r="I43" s="96">
        <v>1</v>
      </c>
      <c r="J43" s="96">
        <v>3</v>
      </c>
      <c r="K43" s="96">
        <v>3</v>
      </c>
      <c r="L43" s="96">
        <v>3</v>
      </c>
      <c r="M43" s="96">
        <v>5</v>
      </c>
      <c r="N43" s="96">
        <v>4</v>
      </c>
      <c r="O43" s="96">
        <v>3</v>
      </c>
      <c r="P43" s="96">
        <v>3</v>
      </c>
      <c r="Q43" s="96" t="s">
        <v>399</v>
      </c>
      <c r="R43" s="96" t="s">
        <v>399</v>
      </c>
      <c r="S43" s="96">
        <v>5</v>
      </c>
      <c r="T43" s="96"/>
      <c r="U43" s="96"/>
      <c r="V43" s="96">
        <v>3</v>
      </c>
      <c r="W43" s="96">
        <v>3</v>
      </c>
      <c r="X43" s="96"/>
      <c r="Y43" s="96"/>
      <c r="Z43" s="96"/>
      <c r="AA43" s="194"/>
      <c r="AB43" s="96">
        <f>ROUNDUP(AVERAGE(Table13[[#This Row],[% of population in sites with access to functioning complaints and feedback mechanisms]:[% of population in sites/communities reporting protection incidents in the last 3 months]]),0)</f>
        <v>4</v>
      </c>
      <c r="AC43"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4</v>
      </c>
      <c r="AE43" s="59">
        <f>Table1345[[#This Row],[FSC Severity]]</f>
        <v>3</v>
      </c>
      <c r="AF43" s="59">
        <f>Table1345[[#This Row],[Education Severity]]</f>
        <v>4</v>
      </c>
      <c r="AG43" s="59" t="str">
        <f>Table1345[[#This Row],[Nutrition Severity]]</f>
        <v>3</v>
      </c>
      <c r="AH43" s="59">
        <f>Table1345[[#This Row],[WASH_Severity]]</f>
        <v>3</v>
      </c>
      <c r="AI43" s="59">
        <f>Table1345[[#This Row],[Health Severity]]</f>
        <v>4</v>
      </c>
      <c r="AJ43" s="59">
        <f>Table1345[[#This Row],[Protection/GBV Severity]]</f>
        <v>3.5</v>
      </c>
      <c r="AK43" s="59">
        <f>Table1345[[#This Row],[CP_Severity]]</f>
        <v>3</v>
      </c>
      <c r="AL43" s="59">
        <f>Table1345[[#This Row],[Shelter/NFIs Severity]]</f>
        <v>0</v>
      </c>
      <c r="AM43" s="59">
        <f>Table1345[[#This Row],[CCCM_Severity]]</f>
        <v>0</v>
      </c>
    </row>
    <row r="44" spans="1:39" x14ac:dyDescent="0.2">
      <c r="A44" s="95" t="s">
        <v>35</v>
      </c>
      <c r="B44" s="95" t="s">
        <v>37</v>
      </c>
      <c r="C44" s="96"/>
      <c r="D44" s="96"/>
      <c r="E44" s="96"/>
      <c r="F44" s="96">
        <v>1</v>
      </c>
      <c r="G44" s="96">
        <v>1</v>
      </c>
      <c r="H44" s="96"/>
      <c r="I44" s="96"/>
      <c r="J44" s="96"/>
      <c r="K44" s="96">
        <v>3</v>
      </c>
      <c r="L44" s="96">
        <v>3</v>
      </c>
      <c r="M44" s="96">
        <v>5</v>
      </c>
      <c r="N44" s="96">
        <v>3</v>
      </c>
      <c r="O44" s="96">
        <v>3</v>
      </c>
      <c r="P44" s="96">
        <v>2</v>
      </c>
      <c r="Q44" s="96" t="s">
        <v>399</v>
      </c>
      <c r="R44" s="96" t="s">
        <v>400</v>
      </c>
      <c r="S44" s="96">
        <v>5</v>
      </c>
      <c r="T44" s="96"/>
      <c r="U44" s="96"/>
      <c r="V44" s="96">
        <v>1</v>
      </c>
      <c r="W44" s="96">
        <v>3</v>
      </c>
      <c r="X44" s="96"/>
      <c r="Y44" s="96"/>
      <c r="Z44" s="96"/>
      <c r="AA44" s="194"/>
      <c r="AB44" s="96">
        <f>ROUNDUP(AVERAGE(Table13[[#This Row],[% of population in sites with access to functioning complaints and feedback mechanisms]:[% of population in sites/communities reporting protection incidents in the last 3 months]]),0)</f>
        <v>3</v>
      </c>
      <c r="AC44"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44" s="59">
        <f>Table1345[[#This Row],[FSC Severity]]</f>
        <v>3</v>
      </c>
      <c r="AF44" s="59">
        <f>Table1345[[#This Row],[Education Severity]]</f>
        <v>0</v>
      </c>
      <c r="AG44" s="59" t="str">
        <f>Table1345[[#This Row],[Nutrition Severity]]</f>
        <v>3</v>
      </c>
      <c r="AH44" s="59">
        <f>Table1345[[#This Row],[WASH_Severity]]</f>
        <v>3</v>
      </c>
      <c r="AI44" s="59">
        <f>Table1345[[#This Row],[Health Severity]]</f>
        <v>3</v>
      </c>
      <c r="AJ44" s="59">
        <f>Table1345[[#This Row],[Protection/GBV Severity]]</f>
        <v>3.5</v>
      </c>
      <c r="AK44" s="59">
        <f>Table1345[[#This Row],[CP_Severity]]</f>
        <v>1</v>
      </c>
      <c r="AL44" s="59">
        <f>Table1345[[#This Row],[Shelter/NFIs Severity]]</f>
        <v>0</v>
      </c>
      <c r="AM44" s="59">
        <f>Table1345[[#This Row],[CCCM_Severity]]</f>
        <v>0</v>
      </c>
    </row>
    <row r="45" spans="1:39" x14ac:dyDescent="0.2">
      <c r="A45" s="95" t="s">
        <v>35</v>
      </c>
      <c r="B45" s="95" t="s">
        <v>100</v>
      </c>
      <c r="C45" s="96"/>
      <c r="D45" s="96"/>
      <c r="E45" s="96">
        <v>3</v>
      </c>
      <c r="F45" s="96">
        <v>2</v>
      </c>
      <c r="G45" s="96">
        <v>3</v>
      </c>
      <c r="H45" s="96">
        <v>4</v>
      </c>
      <c r="I45" s="96">
        <v>1</v>
      </c>
      <c r="J45" s="96">
        <v>5</v>
      </c>
      <c r="K45" s="96">
        <v>4</v>
      </c>
      <c r="L45" s="96">
        <v>3</v>
      </c>
      <c r="M45" s="96">
        <v>5</v>
      </c>
      <c r="N45" s="96">
        <v>2</v>
      </c>
      <c r="O45" s="96">
        <v>2</v>
      </c>
      <c r="P45" s="96">
        <v>2</v>
      </c>
      <c r="Q45" s="96" t="s">
        <v>399</v>
      </c>
      <c r="R45" s="96" t="s">
        <v>399</v>
      </c>
      <c r="S45" s="96">
        <v>5</v>
      </c>
      <c r="T45" s="96"/>
      <c r="U45" s="96"/>
      <c r="V45" s="96">
        <v>3</v>
      </c>
      <c r="W45" s="96">
        <v>3</v>
      </c>
      <c r="X45" s="96"/>
      <c r="Y45" s="96"/>
      <c r="Z45" s="96"/>
      <c r="AA45" s="194"/>
      <c r="AB45" s="96">
        <f>ROUNDUP(AVERAGE(Table13[[#This Row],[% of population in sites with access to functioning complaints and feedback mechanisms]:[% of population in sites/communities reporting protection incidents in the last 3 months]]),0)</f>
        <v>4</v>
      </c>
      <c r="AC45"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45" s="59">
        <f>Table1345[[#This Row],[FSC Severity]]</f>
        <v>4</v>
      </c>
      <c r="AF45" s="59">
        <f>Table1345[[#This Row],[Education Severity]]</f>
        <v>5</v>
      </c>
      <c r="AG45" s="59" t="str">
        <f>Table1345[[#This Row],[Nutrition Severity]]</f>
        <v>3</v>
      </c>
      <c r="AH45" s="59">
        <f>Table1345[[#This Row],[WASH_Severity]]</f>
        <v>3</v>
      </c>
      <c r="AI45" s="59">
        <f>Table1345[[#This Row],[Health Severity]]</f>
        <v>2</v>
      </c>
      <c r="AJ45" s="59">
        <f>Table1345[[#This Row],[Protection/GBV Severity]]</f>
        <v>3.5</v>
      </c>
      <c r="AK45" s="59">
        <f>Table1345[[#This Row],[CP_Severity]]</f>
        <v>2.6666666666666665</v>
      </c>
      <c r="AL45" s="59">
        <f>Table1345[[#This Row],[Shelter/NFIs Severity]]</f>
        <v>0</v>
      </c>
      <c r="AM45" s="59">
        <f>Table1345[[#This Row],[CCCM_Severity]]</f>
        <v>0</v>
      </c>
    </row>
    <row r="46" spans="1:39" x14ac:dyDescent="0.2">
      <c r="A46" s="95" t="s">
        <v>35</v>
      </c>
      <c r="B46" s="95" t="s">
        <v>42</v>
      </c>
      <c r="C46" s="96"/>
      <c r="D46" s="96"/>
      <c r="E46" s="96"/>
      <c r="F46" s="96">
        <v>1</v>
      </c>
      <c r="G46" s="96">
        <v>1</v>
      </c>
      <c r="H46" s="96"/>
      <c r="I46" s="96"/>
      <c r="J46" s="96"/>
      <c r="K46" s="96">
        <v>3</v>
      </c>
      <c r="L46" s="96">
        <v>3</v>
      </c>
      <c r="M46" s="96">
        <v>5</v>
      </c>
      <c r="N46" s="96">
        <v>2</v>
      </c>
      <c r="O46" s="96">
        <v>2</v>
      </c>
      <c r="P46" s="96">
        <v>2</v>
      </c>
      <c r="Q46" s="96" t="s">
        <v>402</v>
      </c>
      <c r="R46" s="96" t="s">
        <v>400</v>
      </c>
      <c r="S46" s="96">
        <v>5</v>
      </c>
      <c r="T46" s="96"/>
      <c r="U46" s="96"/>
      <c r="V46" s="96">
        <v>1</v>
      </c>
      <c r="W46" s="96">
        <v>1</v>
      </c>
      <c r="X46" s="96"/>
      <c r="Y46" s="96"/>
      <c r="Z46" s="96"/>
      <c r="AA46" s="194"/>
      <c r="AB46" s="96">
        <f>ROUNDUP(AVERAGE(Table13[[#This Row],[% of population in sites with access to functioning complaints and feedback mechanisms]:[% of population in sites/communities reporting protection incidents in the last 3 months]]),0)</f>
        <v>3</v>
      </c>
      <c r="AC46"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46" s="59">
        <f>Table1345[[#This Row],[FSC Severity]]</f>
        <v>3</v>
      </c>
      <c r="AF46" s="59">
        <f>Table1345[[#This Row],[Education Severity]]</f>
        <v>0</v>
      </c>
      <c r="AG46" s="59" t="str">
        <f>Table1345[[#This Row],[Nutrition Severity]]</f>
        <v>4</v>
      </c>
      <c r="AH46" s="59">
        <f>Table1345[[#This Row],[WASH_Severity]]</f>
        <v>1</v>
      </c>
      <c r="AI46" s="59">
        <f>Table1345[[#This Row],[Health Severity]]</f>
        <v>2</v>
      </c>
      <c r="AJ46" s="59">
        <f>Table1345[[#This Row],[Protection/GBV Severity]]</f>
        <v>3.5</v>
      </c>
      <c r="AK46" s="59">
        <f>Table1345[[#This Row],[CP_Severity]]</f>
        <v>1</v>
      </c>
      <c r="AL46" s="59">
        <f>Table1345[[#This Row],[Shelter/NFIs Severity]]</f>
        <v>0</v>
      </c>
      <c r="AM46" s="59">
        <f>Table1345[[#This Row],[CCCM_Severity]]</f>
        <v>0</v>
      </c>
    </row>
    <row r="47" spans="1:39" x14ac:dyDescent="0.2">
      <c r="A47" s="95" t="s">
        <v>35</v>
      </c>
      <c r="B47" s="95" t="s">
        <v>44</v>
      </c>
      <c r="C47" s="96"/>
      <c r="D47" s="96"/>
      <c r="E47" s="96"/>
      <c r="F47" s="96">
        <v>1</v>
      </c>
      <c r="G47" s="96">
        <v>1</v>
      </c>
      <c r="H47" s="96"/>
      <c r="I47" s="96"/>
      <c r="J47" s="96"/>
      <c r="K47" s="96">
        <v>3</v>
      </c>
      <c r="L47" s="96">
        <v>3</v>
      </c>
      <c r="M47" s="96">
        <v>5</v>
      </c>
      <c r="N47" s="96">
        <v>1</v>
      </c>
      <c r="O47" s="96">
        <v>3</v>
      </c>
      <c r="P47" s="96">
        <v>3</v>
      </c>
      <c r="Q47" s="96" t="s">
        <v>402</v>
      </c>
      <c r="R47" s="96" t="s">
        <v>400</v>
      </c>
      <c r="S47" s="96">
        <v>5</v>
      </c>
      <c r="T47" s="96"/>
      <c r="U47" s="96"/>
      <c r="V47" s="96">
        <v>2</v>
      </c>
      <c r="W47" s="96">
        <v>1</v>
      </c>
      <c r="X47" s="96"/>
      <c r="Y47" s="96"/>
      <c r="Z47" s="96"/>
      <c r="AA47" s="194"/>
      <c r="AB47" s="96">
        <f>ROUNDUP(AVERAGE(Table13[[#This Row],[% of population in sites with access to functioning complaints and feedback mechanisms]:[% of population in sites/communities reporting protection incidents in the last 3 months]]),0)</f>
        <v>3</v>
      </c>
      <c r="AC47"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47" s="59">
        <f>Table1345[[#This Row],[FSC Severity]]</f>
        <v>3</v>
      </c>
      <c r="AF47" s="59">
        <f>Table1345[[#This Row],[Education Severity]]</f>
        <v>0</v>
      </c>
      <c r="AG47" s="59" t="str">
        <f>Table1345[[#This Row],[Nutrition Severity]]</f>
        <v>4</v>
      </c>
      <c r="AH47" s="59">
        <f>Table1345[[#This Row],[WASH_Severity]]</f>
        <v>2</v>
      </c>
      <c r="AI47" s="59">
        <f>Table1345[[#This Row],[Health Severity]]</f>
        <v>3</v>
      </c>
      <c r="AJ47" s="59">
        <f>Table1345[[#This Row],[Protection/GBV Severity]]</f>
        <v>3.5</v>
      </c>
      <c r="AK47" s="59">
        <f>Table1345[[#This Row],[CP_Severity]]</f>
        <v>1</v>
      </c>
      <c r="AL47" s="59">
        <f>Table1345[[#This Row],[Shelter/NFIs Severity]]</f>
        <v>0</v>
      </c>
      <c r="AM47" s="59">
        <f>Table1345[[#This Row],[CCCM_Severity]]</f>
        <v>0</v>
      </c>
    </row>
    <row r="48" spans="1:39" x14ac:dyDescent="0.2">
      <c r="A48" s="95" t="s">
        <v>35</v>
      </c>
      <c r="B48" s="95" t="s">
        <v>38</v>
      </c>
      <c r="C48" s="96"/>
      <c r="D48" s="96"/>
      <c r="E48" s="96">
        <v>3</v>
      </c>
      <c r="F48" s="96">
        <v>2</v>
      </c>
      <c r="G48" s="96">
        <v>2</v>
      </c>
      <c r="H48" s="96">
        <v>4</v>
      </c>
      <c r="I48" s="96">
        <v>1</v>
      </c>
      <c r="J48" s="96">
        <v>4</v>
      </c>
      <c r="K48" s="96">
        <v>3</v>
      </c>
      <c r="L48" s="96">
        <v>3</v>
      </c>
      <c r="M48" s="96">
        <v>5</v>
      </c>
      <c r="N48" s="96">
        <v>3</v>
      </c>
      <c r="O48" s="96">
        <v>4</v>
      </c>
      <c r="P48" s="96">
        <v>2</v>
      </c>
      <c r="Q48" s="96" t="s">
        <v>402</v>
      </c>
      <c r="R48" s="96" t="s">
        <v>402</v>
      </c>
      <c r="S48" s="96">
        <v>5</v>
      </c>
      <c r="T48" s="96"/>
      <c r="U48" s="96"/>
      <c r="V48" s="96">
        <v>3</v>
      </c>
      <c r="W48" s="96">
        <v>4</v>
      </c>
      <c r="X48" s="96"/>
      <c r="Y48" s="96"/>
      <c r="Z48" s="96"/>
      <c r="AA48" s="194"/>
      <c r="AB48" s="96">
        <f>ROUNDUP(AVERAGE(Table13[[#This Row],[% of population in sites with access to functioning complaints and feedback mechanisms]:[% of population in sites/communities reporting protection incidents in the last 3 months]]),0)</f>
        <v>4</v>
      </c>
      <c r="AC48"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4</v>
      </c>
      <c r="AE48" s="59">
        <f>Table1345[[#This Row],[FSC Severity]]</f>
        <v>3</v>
      </c>
      <c r="AF48" s="59">
        <f>Table1345[[#This Row],[Education Severity]]</f>
        <v>4</v>
      </c>
      <c r="AG48" s="59" t="str">
        <f>Table1345[[#This Row],[Nutrition Severity]]</f>
        <v>4</v>
      </c>
      <c r="AH48" s="59">
        <f>Table1345[[#This Row],[WASH_Severity]]</f>
        <v>4</v>
      </c>
      <c r="AI48" s="59">
        <f>Table1345[[#This Row],[Health Severity]]</f>
        <v>3</v>
      </c>
      <c r="AJ48" s="59">
        <f>Table1345[[#This Row],[Protection/GBV Severity]]</f>
        <v>3.5</v>
      </c>
      <c r="AK48" s="59">
        <f>Table1345[[#This Row],[CP_Severity]]</f>
        <v>3</v>
      </c>
      <c r="AL48" s="59">
        <f>Table1345[[#This Row],[Shelter/NFIs Severity]]</f>
        <v>0</v>
      </c>
      <c r="AM48" s="59">
        <f>Table1345[[#This Row],[CCCM_Severity]]</f>
        <v>0</v>
      </c>
    </row>
    <row r="49" spans="1:39" x14ac:dyDescent="0.2">
      <c r="A49" s="95" t="s">
        <v>35</v>
      </c>
      <c r="B49" s="95" t="s">
        <v>45</v>
      </c>
      <c r="C49" s="96"/>
      <c r="D49" s="96"/>
      <c r="E49" s="96"/>
      <c r="F49" s="96">
        <v>2</v>
      </c>
      <c r="G49" s="96">
        <v>2</v>
      </c>
      <c r="H49" s="96">
        <v>5</v>
      </c>
      <c r="I49" s="96">
        <v>1</v>
      </c>
      <c r="J49" s="96">
        <v>3</v>
      </c>
      <c r="K49" s="96">
        <v>3</v>
      </c>
      <c r="L49" s="96">
        <v>3</v>
      </c>
      <c r="M49" s="96">
        <v>5</v>
      </c>
      <c r="N49" s="96">
        <v>3</v>
      </c>
      <c r="O49" s="96">
        <v>3</v>
      </c>
      <c r="P49" s="96">
        <v>1</v>
      </c>
      <c r="Q49" s="96" t="s">
        <v>401</v>
      </c>
      <c r="R49" s="96" t="s">
        <v>401</v>
      </c>
      <c r="S49" s="96">
        <v>5</v>
      </c>
      <c r="T49" s="96"/>
      <c r="U49" s="96"/>
      <c r="V49" s="96">
        <v>3</v>
      </c>
      <c r="W49" s="96">
        <v>4</v>
      </c>
      <c r="X49" s="96"/>
      <c r="Y49" s="96"/>
      <c r="Z49" s="96"/>
      <c r="AA49" s="194"/>
      <c r="AB49" s="96">
        <f>ROUNDUP(AVERAGE(Table13[[#This Row],[% of population in sites with access to functioning complaints and feedback mechanisms]:[% of population in sites/communities reporting protection incidents in the last 3 months]]),0)</f>
        <v>4</v>
      </c>
      <c r="AC49"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49" s="59">
        <f>Table1345[[#This Row],[FSC Severity]]</f>
        <v>3</v>
      </c>
      <c r="AF49" s="59">
        <f>Table1345[[#This Row],[Education Severity]]</f>
        <v>4</v>
      </c>
      <c r="AG49" s="59" t="str">
        <f>Table1345[[#This Row],[Nutrition Severity]]</f>
        <v>2</v>
      </c>
      <c r="AH49" s="59">
        <f>Table1345[[#This Row],[WASH_Severity]]</f>
        <v>4</v>
      </c>
      <c r="AI49" s="59">
        <f>Table1345[[#This Row],[Health Severity]]</f>
        <v>3</v>
      </c>
      <c r="AJ49" s="59">
        <f>Table1345[[#This Row],[Protection/GBV Severity]]</f>
        <v>3.5</v>
      </c>
      <c r="AK49" s="59">
        <f>Table1345[[#This Row],[CP_Severity]]</f>
        <v>2</v>
      </c>
      <c r="AL49" s="59">
        <f>Table1345[[#This Row],[Shelter/NFIs Severity]]</f>
        <v>0</v>
      </c>
      <c r="AM49" s="59">
        <f>Table1345[[#This Row],[CCCM_Severity]]</f>
        <v>0</v>
      </c>
    </row>
    <row r="50" spans="1:39" x14ac:dyDescent="0.2">
      <c r="A50" s="95" t="s">
        <v>35</v>
      </c>
      <c r="B50" s="95" t="s">
        <v>43</v>
      </c>
      <c r="C50" s="96"/>
      <c r="D50" s="96"/>
      <c r="E50" s="96"/>
      <c r="F50" s="96">
        <v>1</v>
      </c>
      <c r="G50" s="96">
        <v>1</v>
      </c>
      <c r="H50" s="96"/>
      <c r="I50" s="96"/>
      <c r="J50" s="96"/>
      <c r="K50" s="96">
        <v>3</v>
      </c>
      <c r="L50" s="96">
        <v>3</v>
      </c>
      <c r="M50" s="96">
        <v>5</v>
      </c>
      <c r="N50" s="96">
        <v>1</v>
      </c>
      <c r="O50" s="96">
        <v>3</v>
      </c>
      <c r="P50" s="96">
        <v>5</v>
      </c>
      <c r="Q50" s="96" t="s">
        <v>402</v>
      </c>
      <c r="R50" s="96" t="s">
        <v>400</v>
      </c>
      <c r="S50" s="96">
        <v>5</v>
      </c>
      <c r="T50" s="96"/>
      <c r="U50" s="96"/>
      <c r="V50" s="96">
        <v>2</v>
      </c>
      <c r="W50" s="96">
        <v>1</v>
      </c>
      <c r="X50" s="96"/>
      <c r="Y50" s="96"/>
      <c r="Z50" s="96"/>
      <c r="AA50" s="194"/>
      <c r="AB50" s="96">
        <f>ROUNDUP(AVERAGE(Table13[[#This Row],[% of population in sites with access to functioning complaints and feedback mechanisms]:[% of population in sites/communities reporting protection incidents in the last 3 months]]),0)</f>
        <v>3</v>
      </c>
      <c r="AC50"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50" s="59">
        <f>Table1345[[#This Row],[FSC Severity]]</f>
        <v>3</v>
      </c>
      <c r="AF50" s="59">
        <f>Table1345[[#This Row],[Education Severity]]</f>
        <v>0</v>
      </c>
      <c r="AG50" s="59" t="str">
        <f>Table1345[[#This Row],[Nutrition Severity]]</f>
        <v>4</v>
      </c>
      <c r="AH50" s="59">
        <f>Table1345[[#This Row],[WASH_Severity]]</f>
        <v>2</v>
      </c>
      <c r="AI50" s="59">
        <f>Table1345[[#This Row],[Health Severity]]</f>
        <v>3</v>
      </c>
      <c r="AJ50" s="59">
        <f>Table1345[[#This Row],[Protection/GBV Severity]]</f>
        <v>3.5</v>
      </c>
      <c r="AK50" s="59">
        <f>Table1345[[#This Row],[CP_Severity]]</f>
        <v>1</v>
      </c>
      <c r="AL50" s="59">
        <f>Table1345[[#This Row],[Shelter/NFIs Severity]]</f>
        <v>0</v>
      </c>
      <c r="AM50" s="59">
        <f>Table1345[[#This Row],[CCCM_Severity]]</f>
        <v>0</v>
      </c>
    </row>
    <row r="51" spans="1:39" x14ac:dyDescent="0.2">
      <c r="A51" s="95" t="s">
        <v>35</v>
      </c>
      <c r="B51" s="95" t="s">
        <v>46</v>
      </c>
      <c r="C51" s="96"/>
      <c r="D51" s="96"/>
      <c r="E51" s="96">
        <v>4</v>
      </c>
      <c r="F51" s="96">
        <v>2</v>
      </c>
      <c r="G51" s="96">
        <v>2</v>
      </c>
      <c r="H51" s="96">
        <v>5</v>
      </c>
      <c r="I51" s="96">
        <v>1</v>
      </c>
      <c r="J51" s="96">
        <v>3</v>
      </c>
      <c r="K51" s="96">
        <v>3</v>
      </c>
      <c r="L51" s="96">
        <v>3</v>
      </c>
      <c r="M51" s="96">
        <v>5</v>
      </c>
      <c r="N51" s="96">
        <v>3</v>
      </c>
      <c r="O51" s="96">
        <v>3</v>
      </c>
      <c r="P51" s="96">
        <v>2</v>
      </c>
      <c r="Q51" s="96" t="s">
        <v>402</v>
      </c>
      <c r="R51" s="96" t="s">
        <v>402</v>
      </c>
      <c r="S51" s="96">
        <v>5</v>
      </c>
      <c r="T51" s="96"/>
      <c r="U51" s="96"/>
      <c r="V51" s="96">
        <v>2</v>
      </c>
      <c r="W51" s="96">
        <v>2</v>
      </c>
      <c r="X51" s="96"/>
      <c r="Y51" s="96"/>
      <c r="Z51" s="96"/>
      <c r="AA51" s="194"/>
      <c r="AB51" s="96">
        <f>ROUNDUP(AVERAGE(Table13[[#This Row],[% of population in sites with access to functioning complaints and feedback mechanisms]:[% of population in sites/communities reporting protection incidents in the last 3 months]]),0)</f>
        <v>3</v>
      </c>
      <c r="AC51"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51" s="59">
        <f>Table1345[[#This Row],[FSC Severity]]</f>
        <v>3</v>
      </c>
      <c r="AF51" s="59">
        <f>Table1345[[#This Row],[Education Severity]]</f>
        <v>4</v>
      </c>
      <c r="AG51" s="59" t="str">
        <f>Table1345[[#This Row],[Nutrition Severity]]</f>
        <v>4</v>
      </c>
      <c r="AH51" s="59">
        <f>Table1345[[#This Row],[WASH_Severity]]</f>
        <v>2</v>
      </c>
      <c r="AI51" s="59">
        <f>Table1345[[#This Row],[Health Severity]]</f>
        <v>3</v>
      </c>
      <c r="AJ51" s="59">
        <f>Table1345[[#This Row],[Protection/GBV Severity]]</f>
        <v>3.5</v>
      </c>
      <c r="AK51" s="59">
        <f>Table1345[[#This Row],[CP_Severity]]</f>
        <v>2.6666666666666665</v>
      </c>
      <c r="AL51" s="59">
        <f>Table1345[[#This Row],[Shelter/NFIs Severity]]</f>
        <v>0</v>
      </c>
      <c r="AM51" s="59">
        <f>Table1345[[#This Row],[CCCM_Severity]]</f>
        <v>0</v>
      </c>
    </row>
    <row r="52" spans="1:39" x14ac:dyDescent="0.2">
      <c r="A52" s="95" t="s">
        <v>35</v>
      </c>
      <c r="B52" s="95" t="s">
        <v>39</v>
      </c>
      <c r="C52" s="96"/>
      <c r="D52" s="96"/>
      <c r="E52" s="96">
        <v>3</v>
      </c>
      <c r="F52" s="96">
        <v>3</v>
      </c>
      <c r="G52" s="96">
        <v>3</v>
      </c>
      <c r="H52" s="96">
        <v>4</v>
      </c>
      <c r="I52" s="96">
        <v>1</v>
      </c>
      <c r="J52" s="96">
        <v>1</v>
      </c>
      <c r="K52" s="96">
        <v>3</v>
      </c>
      <c r="L52" s="96">
        <v>3</v>
      </c>
      <c r="M52" s="96">
        <v>5</v>
      </c>
      <c r="N52" s="96">
        <v>4</v>
      </c>
      <c r="O52" s="96">
        <v>3</v>
      </c>
      <c r="P52" s="96">
        <v>5</v>
      </c>
      <c r="Q52" s="96" t="s">
        <v>402</v>
      </c>
      <c r="R52" s="96" t="s">
        <v>402</v>
      </c>
      <c r="S52" s="96">
        <v>5</v>
      </c>
      <c r="T52" s="96"/>
      <c r="U52" s="96"/>
      <c r="V52" s="96">
        <v>2</v>
      </c>
      <c r="W52" s="96">
        <v>3</v>
      </c>
      <c r="X52" s="96"/>
      <c r="Y52" s="96"/>
      <c r="Z52" s="96"/>
      <c r="AA52" s="194"/>
      <c r="AB52" s="96">
        <f>ROUNDUP(AVERAGE(Table13[[#This Row],[% of population in sites with access to functioning complaints and feedback mechanisms]:[% of population in sites/communities reporting protection incidents in the last 3 months]]),0)</f>
        <v>4</v>
      </c>
      <c r="AC52"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52" s="59">
        <f>Table1345[[#This Row],[FSC Severity]]</f>
        <v>3</v>
      </c>
      <c r="AF52" s="59">
        <f>Table1345[[#This Row],[Education Severity]]</f>
        <v>3</v>
      </c>
      <c r="AG52" s="59" t="str">
        <f>Table1345[[#This Row],[Nutrition Severity]]</f>
        <v>4</v>
      </c>
      <c r="AH52" s="59">
        <f>Table1345[[#This Row],[WASH_Severity]]</f>
        <v>3</v>
      </c>
      <c r="AI52" s="59">
        <f>Table1345[[#This Row],[Health Severity]]</f>
        <v>4</v>
      </c>
      <c r="AJ52" s="59">
        <f>Table1345[[#This Row],[Protection/GBV Severity]]</f>
        <v>3.5</v>
      </c>
      <c r="AK52" s="59">
        <f>Table1345[[#This Row],[CP_Severity]]</f>
        <v>3</v>
      </c>
      <c r="AL52" s="59">
        <f>Table1345[[#This Row],[Shelter/NFIs Severity]]</f>
        <v>0</v>
      </c>
      <c r="AM52" s="59">
        <f>Table1345[[#This Row],[CCCM_Severity]]</f>
        <v>0</v>
      </c>
    </row>
    <row r="53" spans="1:39" x14ac:dyDescent="0.2">
      <c r="A53" s="95" t="s">
        <v>76</v>
      </c>
      <c r="B53" s="95" t="s">
        <v>77</v>
      </c>
      <c r="C53" s="96"/>
      <c r="D53" s="96"/>
      <c r="E53" s="96">
        <v>2</v>
      </c>
      <c r="F53" s="96">
        <v>3</v>
      </c>
      <c r="G53" s="96">
        <v>3</v>
      </c>
      <c r="H53" s="96">
        <v>3</v>
      </c>
      <c r="I53" s="96">
        <v>1</v>
      </c>
      <c r="J53" s="96">
        <v>3</v>
      </c>
      <c r="K53" s="96">
        <v>3</v>
      </c>
      <c r="L53" s="96">
        <v>4</v>
      </c>
      <c r="M53" s="96">
        <v>5</v>
      </c>
      <c r="N53" s="96">
        <v>2</v>
      </c>
      <c r="O53" s="96">
        <v>3</v>
      </c>
      <c r="P53" s="96">
        <v>1</v>
      </c>
      <c r="Q53" s="96" t="s">
        <v>399</v>
      </c>
      <c r="R53" s="96" t="s">
        <v>399</v>
      </c>
      <c r="S53" s="96">
        <v>5</v>
      </c>
      <c r="T53" s="96">
        <v>1</v>
      </c>
      <c r="U53" s="96">
        <v>4</v>
      </c>
      <c r="V53" s="96">
        <v>2</v>
      </c>
      <c r="W53" s="96">
        <v>3</v>
      </c>
      <c r="X53" s="96"/>
      <c r="Y53" s="96"/>
      <c r="Z53" s="96"/>
      <c r="AA53" s="194"/>
      <c r="AB53" s="96">
        <f>ROUNDUP(AVERAGE(Table13[[#This Row],[% of population in sites with access to functioning complaints and feedback mechanisms]:[% of population in sites/communities reporting protection incidents in the last 3 months]]),0)</f>
        <v>3</v>
      </c>
      <c r="AC53"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53" s="59">
        <f>Table1345[[#This Row],[FSC Severity]]</f>
        <v>3</v>
      </c>
      <c r="AF53" s="59">
        <f>Table1345[[#This Row],[Education Severity]]</f>
        <v>3</v>
      </c>
      <c r="AG53" s="59" t="str">
        <f>Table1345[[#This Row],[Nutrition Severity]]</f>
        <v>3</v>
      </c>
      <c r="AH53" s="59">
        <f>Table1345[[#This Row],[WASH_Severity]]</f>
        <v>3</v>
      </c>
      <c r="AI53" s="59">
        <f>Table1345[[#This Row],[Health Severity]]</f>
        <v>2</v>
      </c>
      <c r="AJ53" s="59">
        <f>Table1345[[#This Row],[Protection/GBV Severity]]</f>
        <v>3.5</v>
      </c>
      <c r="AK53" s="59">
        <f>Table1345[[#This Row],[CP_Severity]]</f>
        <v>2.6666666666666665</v>
      </c>
      <c r="AL53" s="59">
        <f>Table1345[[#This Row],[Shelter/NFIs Severity]]</f>
        <v>4</v>
      </c>
      <c r="AM53" s="59">
        <f>Table1345[[#This Row],[CCCM_Severity]]</f>
        <v>0</v>
      </c>
    </row>
    <row r="54" spans="1:39" x14ac:dyDescent="0.2">
      <c r="A54" s="95" t="s">
        <v>76</v>
      </c>
      <c r="B54" s="95" t="s">
        <v>91</v>
      </c>
      <c r="C54" s="96">
        <v>5</v>
      </c>
      <c r="D54" s="96">
        <v>5</v>
      </c>
      <c r="E54" s="96">
        <v>3</v>
      </c>
      <c r="F54" s="96">
        <v>2</v>
      </c>
      <c r="G54" s="96">
        <v>2</v>
      </c>
      <c r="H54" s="96">
        <v>4</v>
      </c>
      <c r="I54" s="96">
        <v>1</v>
      </c>
      <c r="J54" s="96">
        <v>2</v>
      </c>
      <c r="K54" s="96">
        <v>3</v>
      </c>
      <c r="L54" s="96">
        <v>4</v>
      </c>
      <c r="M54" s="96">
        <v>5</v>
      </c>
      <c r="N54" s="96">
        <v>4</v>
      </c>
      <c r="O54" s="96">
        <v>4</v>
      </c>
      <c r="P54" s="96">
        <v>5</v>
      </c>
      <c r="Q54" s="96" t="s">
        <v>402</v>
      </c>
      <c r="R54" s="96" t="s">
        <v>402</v>
      </c>
      <c r="S54" s="96">
        <v>4</v>
      </c>
      <c r="T54" s="96">
        <v>2</v>
      </c>
      <c r="U54" s="96">
        <v>3</v>
      </c>
      <c r="V54" s="96">
        <v>1</v>
      </c>
      <c r="W54" s="96">
        <v>3</v>
      </c>
      <c r="X54" s="96"/>
      <c r="Y54" s="96"/>
      <c r="Z54" s="96"/>
      <c r="AA54" s="194"/>
      <c r="AB54" s="96">
        <f>ROUNDUP(AVERAGE(Table13[[#This Row],[% of population in sites with access to functioning complaints and feedback mechanisms]:[% of population in sites/communities reporting protection incidents in the last 3 months]]),0)</f>
        <v>4</v>
      </c>
      <c r="AC54"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4</v>
      </c>
      <c r="AE54" s="59">
        <f>Table1345[[#This Row],[FSC Severity]]</f>
        <v>3</v>
      </c>
      <c r="AF54" s="59">
        <f>Table1345[[#This Row],[Education Severity]]</f>
        <v>3</v>
      </c>
      <c r="AG54" s="59" t="str">
        <f>Table1345[[#This Row],[Nutrition Severity]]</f>
        <v>4</v>
      </c>
      <c r="AH54" s="59">
        <f>Table1345[[#This Row],[WASH_Severity]]</f>
        <v>3</v>
      </c>
      <c r="AI54" s="59">
        <f>Table1345[[#This Row],[Health Severity]]</f>
        <v>5</v>
      </c>
      <c r="AJ54" s="59">
        <f>Table1345[[#This Row],[Protection/GBV Severity]]</f>
        <v>3.5</v>
      </c>
      <c r="AK54" s="59">
        <f>Table1345[[#This Row],[CP_Severity]]</f>
        <v>3</v>
      </c>
      <c r="AL54" s="59">
        <f>Table1345[[#This Row],[Shelter/NFIs Severity]]</f>
        <v>3</v>
      </c>
      <c r="AM54" s="59">
        <f>Table1345[[#This Row],[CCCM_Severity]]</f>
        <v>5</v>
      </c>
    </row>
    <row r="55" spans="1:39" x14ac:dyDescent="0.2">
      <c r="A55" s="95" t="s">
        <v>76</v>
      </c>
      <c r="B55" s="95" t="s">
        <v>83</v>
      </c>
      <c r="C55" s="96"/>
      <c r="D55" s="96"/>
      <c r="E55" s="96"/>
      <c r="F55" s="96">
        <v>1</v>
      </c>
      <c r="G55" s="96">
        <v>1</v>
      </c>
      <c r="H55" s="96"/>
      <c r="I55" s="96"/>
      <c r="J55" s="96"/>
      <c r="K55" s="96">
        <v>3</v>
      </c>
      <c r="L55" s="96">
        <v>4</v>
      </c>
      <c r="M55" s="96">
        <v>5</v>
      </c>
      <c r="N55" s="96">
        <v>1</v>
      </c>
      <c r="O55" s="96">
        <v>3</v>
      </c>
      <c r="P55" s="96">
        <v>5</v>
      </c>
      <c r="Q55" s="96" t="s">
        <v>401</v>
      </c>
      <c r="R55" s="96" t="s">
        <v>400</v>
      </c>
      <c r="S55" s="96">
        <v>5</v>
      </c>
      <c r="T55" s="96"/>
      <c r="U55" s="96"/>
      <c r="V55" s="96">
        <v>3</v>
      </c>
      <c r="W55" s="96">
        <v>3</v>
      </c>
      <c r="X55" s="96"/>
      <c r="Y55" s="96"/>
      <c r="Z55" s="96"/>
      <c r="AA55" s="194"/>
      <c r="AB55" s="96">
        <f>ROUNDUP(AVERAGE(Table13[[#This Row],[% of population in sites with access to functioning complaints and feedback mechanisms]:[% of population in sites/communities reporting protection incidents in the last 3 months]]),0)</f>
        <v>4</v>
      </c>
      <c r="AC55"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55" s="59">
        <f>Table1345[[#This Row],[FSC Severity]]</f>
        <v>3</v>
      </c>
      <c r="AF55" s="59">
        <f>Table1345[[#This Row],[Education Severity]]</f>
        <v>0</v>
      </c>
      <c r="AG55" s="59" t="str">
        <f>Table1345[[#This Row],[Nutrition Severity]]</f>
        <v>2</v>
      </c>
      <c r="AH55" s="59">
        <f>Table1345[[#This Row],[WASH_Severity]]</f>
        <v>3</v>
      </c>
      <c r="AI55" s="59">
        <f>Table1345[[#This Row],[Health Severity]]</f>
        <v>3</v>
      </c>
      <c r="AJ55" s="59">
        <f>Table1345[[#This Row],[Protection/GBV Severity]]</f>
        <v>3.5</v>
      </c>
      <c r="AK55" s="59">
        <f>Table1345[[#This Row],[CP_Severity]]</f>
        <v>1</v>
      </c>
      <c r="AL55" s="59">
        <f>Table1345[[#This Row],[Shelter/NFIs Severity]]</f>
        <v>0</v>
      </c>
      <c r="AM55" s="59">
        <f>Table1345[[#This Row],[CCCM_Severity]]</f>
        <v>0</v>
      </c>
    </row>
    <row r="56" spans="1:39" x14ac:dyDescent="0.2">
      <c r="A56" s="95" t="s">
        <v>76</v>
      </c>
      <c r="B56" s="95" t="s">
        <v>78</v>
      </c>
      <c r="C56" s="96"/>
      <c r="D56" s="96"/>
      <c r="E56" s="96">
        <v>2</v>
      </c>
      <c r="F56" s="96">
        <v>3</v>
      </c>
      <c r="G56" s="96">
        <v>3</v>
      </c>
      <c r="H56" s="96">
        <v>3</v>
      </c>
      <c r="I56" s="96">
        <v>1</v>
      </c>
      <c r="J56" s="96">
        <v>2</v>
      </c>
      <c r="K56" s="96">
        <v>3</v>
      </c>
      <c r="L56" s="96">
        <v>4</v>
      </c>
      <c r="M56" s="96">
        <v>5</v>
      </c>
      <c r="N56" s="96">
        <v>2</v>
      </c>
      <c r="O56" s="96">
        <v>2</v>
      </c>
      <c r="P56" s="96">
        <v>1</v>
      </c>
      <c r="Q56" s="96" t="s">
        <v>402</v>
      </c>
      <c r="R56" s="96" t="s">
        <v>402</v>
      </c>
      <c r="S56" s="96">
        <v>5</v>
      </c>
      <c r="T56" s="96"/>
      <c r="U56" s="96"/>
      <c r="V56" s="96">
        <v>2</v>
      </c>
      <c r="W56" s="96">
        <v>2</v>
      </c>
      <c r="X56" s="96"/>
      <c r="Y56" s="96"/>
      <c r="Z56" s="96"/>
      <c r="AA56" s="194"/>
      <c r="AB56" s="96">
        <f>ROUNDUP(AVERAGE(Table13[[#This Row],[% of population in sites with access to functioning complaints and feedback mechanisms]:[% of population in sites/communities reporting protection incidents in the last 3 months]]),0)</f>
        <v>3</v>
      </c>
      <c r="AC56"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56" s="59">
        <f>Table1345[[#This Row],[FSC Severity]]</f>
        <v>3</v>
      </c>
      <c r="AF56" s="59">
        <f>Table1345[[#This Row],[Education Severity]]</f>
        <v>3</v>
      </c>
      <c r="AG56" s="59" t="str">
        <f>Table1345[[#This Row],[Nutrition Severity]]</f>
        <v>4</v>
      </c>
      <c r="AH56" s="59">
        <f>Table1345[[#This Row],[WASH_Severity]]</f>
        <v>2</v>
      </c>
      <c r="AI56" s="59">
        <f>Table1345[[#This Row],[Health Severity]]</f>
        <v>2</v>
      </c>
      <c r="AJ56" s="59">
        <f>Table1345[[#This Row],[Protection/GBV Severity]]</f>
        <v>3.5</v>
      </c>
      <c r="AK56" s="59">
        <f>Table1345[[#This Row],[CP_Severity]]</f>
        <v>2.6666666666666665</v>
      </c>
      <c r="AL56" s="59">
        <f>Table1345[[#This Row],[Shelter/NFIs Severity]]</f>
        <v>0</v>
      </c>
      <c r="AM56" s="59">
        <f>Table1345[[#This Row],[CCCM_Severity]]</f>
        <v>0</v>
      </c>
    </row>
    <row r="57" spans="1:39" x14ac:dyDescent="0.2">
      <c r="A57" s="95" t="s">
        <v>76</v>
      </c>
      <c r="B57" s="95" t="s">
        <v>79</v>
      </c>
      <c r="C57" s="96"/>
      <c r="D57" s="96"/>
      <c r="E57" s="96">
        <v>2</v>
      </c>
      <c r="F57" s="96">
        <v>2</v>
      </c>
      <c r="G57" s="96">
        <v>2</v>
      </c>
      <c r="H57" s="96">
        <v>3</v>
      </c>
      <c r="I57" s="96">
        <v>1</v>
      </c>
      <c r="J57" s="96">
        <v>2</v>
      </c>
      <c r="K57" s="96">
        <v>3</v>
      </c>
      <c r="L57" s="96">
        <v>4</v>
      </c>
      <c r="M57" s="96">
        <v>5</v>
      </c>
      <c r="N57" s="96">
        <v>3</v>
      </c>
      <c r="O57" s="96">
        <v>3</v>
      </c>
      <c r="P57" s="96">
        <v>2</v>
      </c>
      <c r="Q57" s="96" t="s">
        <v>400</v>
      </c>
      <c r="R57" s="96" t="s">
        <v>400</v>
      </c>
      <c r="S57" s="96">
        <v>5</v>
      </c>
      <c r="T57" s="96">
        <v>3</v>
      </c>
      <c r="U57" s="96">
        <v>4</v>
      </c>
      <c r="V57" s="96">
        <v>3</v>
      </c>
      <c r="W57" s="96">
        <v>3</v>
      </c>
      <c r="X57" s="96"/>
      <c r="Y57" s="96"/>
      <c r="Z57" s="96"/>
      <c r="AA57" s="194"/>
      <c r="AB57" s="96">
        <f>ROUNDUP(AVERAGE(Table13[[#This Row],[% of population in sites with access to functioning complaints and feedback mechanisms]:[% of population in sites/communities reporting protection incidents in the last 3 months]]),0)</f>
        <v>3</v>
      </c>
      <c r="AC57"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57" s="59">
        <f>Table1345[[#This Row],[FSC Severity]]</f>
        <v>3</v>
      </c>
      <c r="AF57" s="59">
        <f>Table1345[[#This Row],[Education Severity]]</f>
        <v>3</v>
      </c>
      <c r="AG57" s="59" t="str">
        <f>Table1345[[#This Row],[Nutrition Severity]]</f>
        <v>1</v>
      </c>
      <c r="AH57" s="59">
        <f>Table1345[[#This Row],[WASH_Severity]]</f>
        <v>3</v>
      </c>
      <c r="AI57" s="59">
        <f>Table1345[[#This Row],[Health Severity]]</f>
        <v>3</v>
      </c>
      <c r="AJ57" s="59">
        <f>Table1345[[#This Row],[Protection/GBV Severity]]</f>
        <v>3.5</v>
      </c>
      <c r="AK57" s="59">
        <f>Table1345[[#This Row],[CP_Severity]]</f>
        <v>2</v>
      </c>
      <c r="AL57" s="59">
        <f>Table1345[[#This Row],[Shelter/NFIs Severity]]</f>
        <v>4</v>
      </c>
      <c r="AM57" s="59">
        <f>Table1345[[#This Row],[CCCM_Severity]]</f>
        <v>0</v>
      </c>
    </row>
    <row r="58" spans="1:39" x14ac:dyDescent="0.2">
      <c r="A58" s="95" t="s">
        <v>76</v>
      </c>
      <c r="B58" s="95" t="s">
        <v>76</v>
      </c>
      <c r="C58" s="96"/>
      <c r="D58" s="96"/>
      <c r="E58" s="96">
        <v>2</v>
      </c>
      <c r="F58" s="96">
        <v>2</v>
      </c>
      <c r="G58" s="96">
        <v>2</v>
      </c>
      <c r="H58" s="96">
        <v>4</v>
      </c>
      <c r="I58" s="96">
        <v>1</v>
      </c>
      <c r="J58" s="96">
        <v>3</v>
      </c>
      <c r="K58" s="96">
        <v>3</v>
      </c>
      <c r="L58" s="96">
        <v>4</v>
      </c>
      <c r="M58" s="96">
        <v>5</v>
      </c>
      <c r="N58" s="96">
        <v>4</v>
      </c>
      <c r="O58" s="96">
        <v>3</v>
      </c>
      <c r="P58" s="96">
        <v>2</v>
      </c>
      <c r="Q58" s="96" t="s">
        <v>400</v>
      </c>
      <c r="R58" s="96" t="s">
        <v>400</v>
      </c>
      <c r="S58" s="96">
        <v>5</v>
      </c>
      <c r="T58" s="96">
        <v>3</v>
      </c>
      <c r="U58" s="96">
        <v>5</v>
      </c>
      <c r="V58" s="96">
        <v>1</v>
      </c>
      <c r="W58" s="96">
        <v>3</v>
      </c>
      <c r="X58" s="96"/>
      <c r="Y58" s="96"/>
      <c r="Z58" s="96"/>
      <c r="AA58" s="194"/>
      <c r="AB58" s="96">
        <f>ROUNDUP(AVERAGE(Table13[[#This Row],[% of population in sites with access to functioning complaints and feedback mechanisms]:[% of population in sites/communities reporting protection incidents in the last 3 months]]),0)</f>
        <v>4</v>
      </c>
      <c r="AC58"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58" s="59">
        <f>Table1345[[#This Row],[FSC Severity]]</f>
        <v>3</v>
      </c>
      <c r="AF58" s="59">
        <f>Table1345[[#This Row],[Education Severity]]</f>
        <v>4</v>
      </c>
      <c r="AG58" s="59" t="str">
        <f>Table1345[[#This Row],[Nutrition Severity]]</f>
        <v>1</v>
      </c>
      <c r="AH58" s="59">
        <f>Table1345[[#This Row],[WASH_Severity]]</f>
        <v>3</v>
      </c>
      <c r="AI58" s="59">
        <f>Table1345[[#This Row],[Health Severity]]</f>
        <v>3</v>
      </c>
      <c r="AJ58" s="59">
        <f>Table1345[[#This Row],[Protection/GBV Severity]]</f>
        <v>3.5</v>
      </c>
      <c r="AK58" s="59">
        <f>Table1345[[#This Row],[CP_Severity]]</f>
        <v>2</v>
      </c>
      <c r="AL58" s="59">
        <f>Table1345[[#This Row],[Shelter/NFIs Severity]]</f>
        <v>5</v>
      </c>
      <c r="AM58" s="59">
        <f>Table1345[[#This Row],[CCCM_Severity]]</f>
        <v>0</v>
      </c>
    </row>
    <row r="59" spans="1:39" x14ac:dyDescent="0.2">
      <c r="A59" s="95" t="s">
        <v>76</v>
      </c>
      <c r="B59" s="95" t="s">
        <v>82</v>
      </c>
      <c r="C59" s="96"/>
      <c r="D59" s="96"/>
      <c r="E59" s="96"/>
      <c r="F59" s="96">
        <v>1</v>
      </c>
      <c r="G59" s="96">
        <v>1</v>
      </c>
      <c r="H59" s="96"/>
      <c r="I59" s="96"/>
      <c r="J59" s="96"/>
      <c r="K59" s="96">
        <v>3</v>
      </c>
      <c r="L59" s="96">
        <v>4</v>
      </c>
      <c r="M59" s="96">
        <v>5</v>
      </c>
      <c r="N59" s="96">
        <v>3</v>
      </c>
      <c r="O59" s="96">
        <v>2</v>
      </c>
      <c r="P59" s="96">
        <v>2</v>
      </c>
      <c r="Q59" s="96" t="s">
        <v>402</v>
      </c>
      <c r="R59" s="96" t="s">
        <v>400</v>
      </c>
      <c r="S59" s="96">
        <v>5</v>
      </c>
      <c r="T59" s="96"/>
      <c r="U59" s="96"/>
      <c r="V59" s="96">
        <v>1</v>
      </c>
      <c r="W59" s="96">
        <v>1</v>
      </c>
      <c r="X59" s="96"/>
      <c r="Y59" s="96"/>
      <c r="Z59" s="96"/>
      <c r="AA59" s="194"/>
      <c r="AB59" s="96">
        <f>ROUNDUP(AVERAGE(Table13[[#This Row],[% of population in sites with access to functioning complaints and feedback mechanisms]:[% of population in sites/communities reporting protection incidents in the last 3 months]]),0)</f>
        <v>3</v>
      </c>
      <c r="AC59"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59" s="59">
        <f>Table1345[[#This Row],[FSC Severity]]</f>
        <v>3</v>
      </c>
      <c r="AF59" s="59">
        <f>Table1345[[#This Row],[Education Severity]]</f>
        <v>0</v>
      </c>
      <c r="AG59" s="59" t="str">
        <f>Table1345[[#This Row],[Nutrition Severity]]</f>
        <v>4</v>
      </c>
      <c r="AH59" s="59">
        <f>Table1345[[#This Row],[WASH_Severity]]</f>
        <v>1</v>
      </c>
      <c r="AI59" s="59">
        <f>Table1345[[#This Row],[Health Severity]]</f>
        <v>3</v>
      </c>
      <c r="AJ59" s="59">
        <f>Table1345[[#This Row],[Protection/GBV Severity]]</f>
        <v>3.5</v>
      </c>
      <c r="AK59" s="59">
        <f>Table1345[[#This Row],[CP_Severity]]</f>
        <v>1</v>
      </c>
      <c r="AL59" s="59">
        <f>Table1345[[#This Row],[Shelter/NFIs Severity]]</f>
        <v>0</v>
      </c>
      <c r="AM59" s="59">
        <f>Table1345[[#This Row],[CCCM_Severity]]</f>
        <v>0</v>
      </c>
    </row>
    <row r="60" spans="1:39" x14ac:dyDescent="0.2">
      <c r="A60" s="95" t="s">
        <v>76</v>
      </c>
      <c r="B60" s="95" t="s">
        <v>80</v>
      </c>
      <c r="C60" s="96"/>
      <c r="D60" s="96"/>
      <c r="E60" s="96">
        <v>3</v>
      </c>
      <c r="F60" s="96">
        <v>3</v>
      </c>
      <c r="G60" s="96">
        <v>3</v>
      </c>
      <c r="H60" s="96">
        <v>4</v>
      </c>
      <c r="I60" s="96">
        <v>1</v>
      </c>
      <c r="J60" s="96">
        <v>1</v>
      </c>
      <c r="K60" s="96">
        <v>4</v>
      </c>
      <c r="L60" s="96">
        <v>4</v>
      </c>
      <c r="M60" s="96">
        <v>5</v>
      </c>
      <c r="N60" s="96">
        <v>2</v>
      </c>
      <c r="O60" s="96">
        <v>3</v>
      </c>
      <c r="P60" s="96">
        <v>5</v>
      </c>
      <c r="Q60" s="96" t="s">
        <v>399</v>
      </c>
      <c r="R60" s="96" t="s">
        <v>399</v>
      </c>
      <c r="S60" s="96">
        <v>5</v>
      </c>
      <c r="T60" s="96"/>
      <c r="U60" s="96"/>
      <c r="V60" s="96">
        <v>2</v>
      </c>
      <c r="W60" s="96">
        <v>3</v>
      </c>
      <c r="X60" s="96"/>
      <c r="Y60" s="96"/>
      <c r="Z60" s="96"/>
      <c r="AA60" s="194"/>
      <c r="AB60" s="96">
        <f>ROUNDUP(AVERAGE(Table13[[#This Row],[% of population in sites with access to functioning complaints and feedback mechanisms]:[% of population in sites/communities reporting protection incidents in the last 3 months]]),0)</f>
        <v>4</v>
      </c>
      <c r="AC60"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60" s="59">
        <f>Table1345[[#This Row],[FSC Severity]]</f>
        <v>4</v>
      </c>
      <c r="AF60" s="59">
        <f>Table1345[[#This Row],[Education Severity]]</f>
        <v>3</v>
      </c>
      <c r="AG60" s="59" t="str">
        <f>Table1345[[#This Row],[Nutrition Severity]]</f>
        <v>3</v>
      </c>
      <c r="AH60" s="59">
        <f>Table1345[[#This Row],[WASH_Severity]]</f>
        <v>3</v>
      </c>
      <c r="AI60" s="59">
        <f>Table1345[[#This Row],[Health Severity]]</f>
        <v>4</v>
      </c>
      <c r="AJ60" s="59">
        <f>Table1345[[#This Row],[Protection/GBV Severity]]</f>
        <v>3.5</v>
      </c>
      <c r="AK60" s="59">
        <f>Table1345[[#This Row],[CP_Severity]]</f>
        <v>3</v>
      </c>
      <c r="AL60" s="59">
        <f>Table1345[[#This Row],[Shelter/NFIs Severity]]</f>
        <v>0</v>
      </c>
      <c r="AM60" s="59">
        <f>Table1345[[#This Row],[CCCM_Severity]]</f>
        <v>0</v>
      </c>
    </row>
    <row r="61" spans="1:39" x14ac:dyDescent="0.2">
      <c r="A61" s="95" t="s">
        <v>76</v>
      </c>
      <c r="B61" s="95" t="s">
        <v>81</v>
      </c>
      <c r="C61" s="96"/>
      <c r="D61" s="96"/>
      <c r="E61" s="96">
        <v>2</v>
      </c>
      <c r="F61" s="96">
        <v>3</v>
      </c>
      <c r="G61" s="96">
        <v>3</v>
      </c>
      <c r="H61" s="96">
        <v>3</v>
      </c>
      <c r="I61" s="96">
        <v>1</v>
      </c>
      <c r="J61" s="96">
        <v>2</v>
      </c>
      <c r="K61" s="96">
        <v>3</v>
      </c>
      <c r="L61" s="96">
        <v>4</v>
      </c>
      <c r="M61" s="96">
        <v>5</v>
      </c>
      <c r="N61" s="96">
        <v>2</v>
      </c>
      <c r="O61" s="96">
        <v>3</v>
      </c>
      <c r="P61" s="96">
        <v>1</v>
      </c>
      <c r="Q61" s="96" t="s">
        <v>399</v>
      </c>
      <c r="R61" s="96" t="s">
        <v>399</v>
      </c>
      <c r="S61" s="96">
        <v>5</v>
      </c>
      <c r="T61" s="96">
        <v>1</v>
      </c>
      <c r="U61" s="96">
        <v>5</v>
      </c>
      <c r="V61" s="96">
        <v>3</v>
      </c>
      <c r="W61" s="96">
        <v>4</v>
      </c>
      <c r="X61" s="96"/>
      <c r="Y61" s="96"/>
      <c r="Z61" s="96"/>
      <c r="AA61" s="194"/>
      <c r="AB61" s="96">
        <f>ROUNDUP(AVERAGE(Table13[[#This Row],[% of population in sites with access to functioning complaints and feedback mechanisms]:[% of population in sites/communities reporting protection incidents in the last 3 months]]),0)</f>
        <v>3</v>
      </c>
      <c r="AC61"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61" s="59">
        <f>Table1345[[#This Row],[FSC Severity]]</f>
        <v>3</v>
      </c>
      <c r="AF61" s="59">
        <f>Table1345[[#This Row],[Education Severity]]</f>
        <v>3</v>
      </c>
      <c r="AG61" s="59" t="str">
        <f>Table1345[[#This Row],[Nutrition Severity]]</f>
        <v>3</v>
      </c>
      <c r="AH61" s="59">
        <f>Table1345[[#This Row],[WASH_Severity]]</f>
        <v>4</v>
      </c>
      <c r="AI61" s="59">
        <f>Table1345[[#This Row],[Health Severity]]</f>
        <v>2</v>
      </c>
      <c r="AJ61" s="59">
        <f>Table1345[[#This Row],[Protection/GBV Severity]]</f>
        <v>3.5</v>
      </c>
      <c r="AK61" s="59">
        <f>Table1345[[#This Row],[CP_Severity]]</f>
        <v>2.6666666666666665</v>
      </c>
      <c r="AL61" s="59">
        <f>Table1345[[#This Row],[Shelter/NFIs Severity]]</f>
        <v>5</v>
      </c>
      <c r="AM61" s="59">
        <f>Table1345[[#This Row],[CCCM_Severity]]</f>
        <v>0</v>
      </c>
    </row>
    <row r="62" spans="1:39" x14ac:dyDescent="0.2">
      <c r="A62" s="95" t="s">
        <v>47</v>
      </c>
      <c r="B62" s="95" t="s">
        <v>48</v>
      </c>
      <c r="C62" s="96">
        <v>5</v>
      </c>
      <c r="D62" s="96">
        <v>5</v>
      </c>
      <c r="E62" s="96">
        <v>3</v>
      </c>
      <c r="F62" s="96">
        <v>3</v>
      </c>
      <c r="G62" s="96">
        <v>3</v>
      </c>
      <c r="H62" s="96">
        <v>4</v>
      </c>
      <c r="I62" s="96">
        <v>1</v>
      </c>
      <c r="J62" s="96">
        <v>2</v>
      </c>
      <c r="K62" s="96">
        <v>3</v>
      </c>
      <c r="L62" s="96">
        <v>2</v>
      </c>
      <c r="M62" s="96">
        <v>5</v>
      </c>
      <c r="N62" s="96">
        <v>2</v>
      </c>
      <c r="O62" s="96">
        <v>2</v>
      </c>
      <c r="P62" s="96">
        <v>1</v>
      </c>
      <c r="Q62" s="96" t="s">
        <v>402</v>
      </c>
      <c r="R62" s="96" t="s">
        <v>401</v>
      </c>
      <c r="S62" s="96">
        <v>5</v>
      </c>
      <c r="T62" s="96">
        <v>2</v>
      </c>
      <c r="U62" s="96"/>
      <c r="V62" s="96">
        <v>3</v>
      </c>
      <c r="W62" s="96">
        <v>4</v>
      </c>
      <c r="X62" s="96"/>
      <c r="Y62" s="96"/>
      <c r="Z62" s="96"/>
      <c r="AA62" s="194"/>
      <c r="AB62" s="96">
        <f>ROUNDUP(AVERAGE(Table13[[#This Row],[% of population in sites with access to functioning complaints and feedback mechanisms]:[% of population in sites/communities reporting protection incidents in the last 3 months]]),0)</f>
        <v>4</v>
      </c>
      <c r="AC62"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62" s="59">
        <f>Table1345[[#This Row],[FSC Severity]]</f>
        <v>3</v>
      </c>
      <c r="AF62" s="59">
        <f>Table1345[[#This Row],[Education Severity]]</f>
        <v>3</v>
      </c>
      <c r="AG62" s="59" t="str">
        <f>Table1345[[#This Row],[Nutrition Severity]]</f>
        <v>4</v>
      </c>
      <c r="AH62" s="59">
        <f>Table1345[[#This Row],[WASH_Severity]]</f>
        <v>4</v>
      </c>
      <c r="AI62" s="59">
        <f>Table1345[[#This Row],[Health Severity]]</f>
        <v>2</v>
      </c>
      <c r="AJ62" s="59">
        <f>Table1345[[#This Row],[Protection/GBV Severity]]</f>
        <v>3</v>
      </c>
      <c r="AK62" s="59">
        <f>Table1345[[#This Row],[CP_Severity]]</f>
        <v>3</v>
      </c>
      <c r="AL62" s="59">
        <f>Table1345[[#This Row],[Shelter/NFIs Severity]]</f>
        <v>3</v>
      </c>
      <c r="AM62" s="59">
        <f>Table1345[[#This Row],[CCCM_Severity]]</f>
        <v>5</v>
      </c>
    </row>
    <row r="63" spans="1:39" x14ac:dyDescent="0.2">
      <c r="A63" s="95" t="s">
        <v>47</v>
      </c>
      <c r="B63" s="95" t="s">
        <v>49</v>
      </c>
      <c r="C63" s="96"/>
      <c r="D63" s="96"/>
      <c r="E63" s="96">
        <v>3</v>
      </c>
      <c r="F63" s="96">
        <v>2</v>
      </c>
      <c r="G63" s="96">
        <v>2</v>
      </c>
      <c r="H63" s="96">
        <v>4</v>
      </c>
      <c r="I63" s="96">
        <v>1</v>
      </c>
      <c r="J63" s="96">
        <v>2</v>
      </c>
      <c r="K63" s="96">
        <v>3</v>
      </c>
      <c r="L63" s="96">
        <v>2</v>
      </c>
      <c r="M63" s="96">
        <v>5</v>
      </c>
      <c r="N63" s="96">
        <v>3</v>
      </c>
      <c r="O63" s="96">
        <v>0</v>
      </c>
      <c r="P63" s="96">
        <v>5</v>
      </c>
      <c r="Q63" s="96" t="s">
        <v>402</v>
      </c>
      <c r="R63" s="96" t="s">
        <v>402</v>
      </c>
      <c r="S63" s="96">
        <v>5</v>
      </c>
      <c r="T63" s="96"/>
      <c r="U63" s="96"/>
      <c r="V63" s="96">
        <v>2</v>
      </c>
      <c r="W63" s="96">
        <v>3</v>
      </c>
      <c r="X63" s="96"/>
      <c r="Y63" s="96"/>
      <c r="Z63" s="96"/>
      <c r="AA63" s="194"/>
      <c r="AB63" s="96">
        <f>ROUNDUP(AVERAGE(Table13[[#This Row],[% of population in sites with access to functioning complaints and feedback mechanisms]:[% of population in sites/communities reporting protection incidents in the last 3 months]]),0)</f>
        <v>3</v>
      </c>
      <c r="AC63"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63" s="59">
        <f>Table1345[[#This Row],[FSC Severity]]</f>
        <v>3</v>
      </c>
      <c r="AF63" s="59">
        <f>Table1345[[#This Row],[Education Severity]]</f>
        <v>3</v>
      </c>
      <c r="AG63" s="59" t="str">
        <f>Table1345[[#This Row],[Nutrition Severity]]</f>
        <v>4</v>
      </c>
      <c r="AH63" s="59">
        <f>Table1345[[#This Row],[WASH_Severity]]</f>
        <v>3</v>
      </c>
      <c r="AI63" s="59">
        <f>Table1345[[#This Row],[Health Severity]]</f>
        <v>3</v>
      </c>
      <c r="AJ63" s="59">
        <f>Table1345[[#This Row],[Protection/GBV Severity]]</f>
        <v>3</v>
      </c>
      <c r="AK63" s="59">
        <f>Table1345[[#This Row],[CP_Severity]]</f>
        <v>3</v>
      </c>
      <c r="AL63" s="59">
        <f>Table1345[[#This Row],[Shelter/NFIs Severity]]</f>
        <v>0</v>
      </c>
      <c r="AM63" s="59">
        <f>Table1345[[#This Row],[CCCM_Severity]]</f>
        <v>0</v>
      </c>
    </row>
    <row r="64" spans="1:39" x14ac:dyDescent="0.2">
      <c r="A64" s="95" t="s">
        <v>47</v>
      </c>
      <c r="B64" s="95" t="s">
        <v>98</v>
      </c>
      <c r="C64" s="96">
        <v>5</v>
      </c>
      <c r="D64" s="96">
        <v>5</v>
      </c>
      <c r="E64" s="96">
        <v>2</v>
      </c>
      <c r="F64" s="96">
        <v>2</v>
      </c>
      <c r="G64" s="96">
        <v>3</v>
      </c>
      <c r="H64" s="96">
        <v>3</v>
      </c>
      <c r="I64" s="96">
        <v>1</v>
      </c>
      <c r="J64" s="96">
        <v>2</v>
      </c>
      <c r="K64" s="96">
        <v>3</v>
      </c>
      <c r="L64" s="96">
        <v>2</v>
      </c>
      <c r="M64" s="96">
        <v>5</v>
      </c>
      <c r="N64" s="96">
        <v>4</v>
      </c>
      <c r="O64" s="96">
        <v>2</v>
      </c>
      <c r="P64" s="96">
        <v>2</v>
      </c>
      <c r="Q64" s="96" t="s">
        <v>399</v>
      </c>
      <c r="R64" s="96" t="s">
        <v>399</v>
      </c>
      <c r="S64" s="96">
        <v>5</v>
      </c>
      <c r="T64" s="96"/>
      <c r="U64" s="96"/>
      <c r="V64" s="96">
        <v>2</v>
      </c>
      <c r="W64" s="96">
        <v>3</v>
      </c>
      <c r="X64" s="96"/>
      <c r="Y64" s="96"/>
      <c r="Z64" s="96"/>
      <c r="AA64" s="194"/>
      <c r="AB64" s="96">
        <f>ROUNDUP(AVERAGE(Table13[[#This Row],[% of population in sites with access to functioning complaints and feedback mechanisms]:[% of population in sites/communities reporting protection incidents in the last 3 months]]),0)</f>
        <v>3</v>
      </c>
      <c r="AC64"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64" s="59">
        <f>Table1345[[#This Row],[FSC Severity]]</f>
        <v>3</v>
      </c>
      <c r="AF64" s="59">
        <f>Table1345[[#This Row],[Education Severity]]</f>
        <v>3</v>
      </c>
      <c r="AG64" s="59" t="str">
        <f>Table1345[[#This Row],[Nutrition Severity]]</f>
        <v>3</v>
      </c>
      <c r="AH64" s="59">
        <f>Table1345[[#This Row],[WASH_Severity]]</f>
        <v>3</v>
      </c>
      <c r="AI64" s="59">
        <f>Table1345[[#This Row],[Health Severity]]</f>
        <v>3</v>
      </c>
      <c r="AJ64" s="59">
        <f>Table1345[[#This Row],[Protection/GBV Severity]]</f>
        <v>3</v>
      </c>
      <c r="AK64" s="59">
        <f>Table1345[[#This Row],[CP_Severity]]</f>
        <v>3</v>
      </c>
      <c r="AL64" s="59">
        <f>Table1345[[#This Row],[Shelter/NFIs Severity]]</f>
        <v>0</v>
      </c>
      <c r="AM64" s="59">
        <f>Table1345[[#This Row],[CCCM_Severity]]</f>
        <v>5</v>
      </c>
    </row>
    <row r="65" spans="1:39" x14ac:dyDescent="0.2">
      <c r="A65" s="95" t="s">
        <v>47</v>
      </c>
      <c r="B65" s="95" t="s">
        <v>54</v>
      </c>
      <c r="C65" s="96"/>
      <c r="D65" s="96"/>
      <c r="E65" s="96"/>
      <c r="F65" s="96">
        <v>1</v>
      </c>
      <c r="G65" s="96">
        <v>1</v>
      </c>
      <c r="H65" s="96"/>
      <c r="I65" s="96"/>
      <c r="J65" s="96"/>
      <c r="K65" s="96">
        <v>3</v>
      </c>
      <c r="L65" s="96">
        <v>2</v>
      </c>
      <c r="M65" s="96">
        <v>5</v>
      </c>
      <c r="N65" s="96">
        <v>3</v>
      </c>
      <c r="O65" s="96">
        <v>2</v>
      </c>
      <c r="P65" s="96">
        <v>2</v>
      </c>
      <c r="Q65" s="96" t="s">
        <v>402</v>
      </c>
      <c r="R65" s="96" t="s">
        <v>400</v>
      </c>
      <c r="S65" s="96">
        <v>5</v>
      </c>
      <c r="T65" s="96"/>
      <c r="U65" s="96"/>
      <c r="V65" s="96">
        <v>2</v>
      </c>
      <c r="W65" s="96">
        <v>1</v>
      </c>
      <c r="X65" s="96"/>
      <c r="Y65" s="96"/>
      <c r="Z65" s="96"/>
      <c r="AA65" s="194"/>
      <c r="AB65" s="96">
        <f>ROUNDUP(AVERAGE(Table13[[#This Row],[% of population in sites with access to functioning complaints and feedback mechanisms]:[% of population in sites/communities reporting protection incidents in the last 3 months]]),0)</f>
        <v>3</v>
      </c>
      <c r="AC65"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65" s="59">
        <f>Table1345[[#This Row],[FSC Severity]]</f>
        <v>3</v>
      </c>
      <c r="AF65" s="59">
        <f>Table1345[[#This Row],[Education Severity]]</f>
        <v>0</v>
      </c>
      <c r="AG65" s="59" t="str">
        <f>Table1345[[#This Row],[Nutrition Severity]]</f>
        <v>4</v>
      </c>
      <c r="AH65" s="59">
        <f>Table1345[[#This Row],[WASH_Severity]]</f>
        <v>2</v>
      </c>
      <c r="AI65" s="59">
        <f>Table1345[[#This Row],[Health Severity]]</f>
        <v>3</v>
      </c>
      <c r="AJ65" s="59">
        <f>Table1345[[#This Row],[Protection/GBV Severity]]</f>
        <v>3</v>
      </c>
      <c r="AK65" s="59">
        <f>Table1345[[#This Row],[CP_Severity]]</f>
        <v>1</v>
      </c>
      <c r="AL65" s="59">
        <f>Table1345[[#This Row],[Shelter/NFIs Severity]]</f>
        <v>0</v>
      </c>
      <c r="AM65" s="59">
        <f>Table1345[[#This Row],[CCCM_Severity]]</f>
        <v>0</v>
      </c>
    </row>
    <row r="66" spans="1:39" x14ac:dyDescent="0.2">
      <c r="A66" s="95" t="s">
        <v>47</v>
      </c>
      <c r="B66" s="95" t="s">
        <v>50</v>
      </c>
      <c r="C66" s="96"/>
      <c r="D66" s="96"/>
      <c r="E66" s="96">
        <v>3</v>
      </c>
      <c r="F66" s="96">
        <v>2</v>
      </c>
      <c r="G66" s="96">
        <v>2</v>
      </c>
      <c r="H66" s="96">
        <v>4</v>
      </c>
      <c r="I66" s="96">
        <v>1</v>
      </c>
      <c r="J66" s="96">
        <v>1</v>
      </c>
      <c r="K66" s="96">
        <v>3</v>
      </c>
      <c r="L66" s="96">
        <v>2</v>
      </c>
      <c r="M66" s="96">
        <v>5</v>
      </c>
      <c r="N66" s="96">
        <v>2</v>
      </c>
      <c r="O66" s="96">
        <v>2</v>
      </c>
      <c r="P66" s="96">
        <v>1</v>
      </c>
      <c r="Q66" s="96" t="s">
        <v>399</v>
      </c>
      <c r="R66" s="96" t="s">
        <v>399</v>
      </c>
      <c r="S66" s="96">
        <v>5</v>
      </c>
      <c r="T66" s="96"/>
      <c r="U66" s="96"/>
      <c r="V66" s="96">
        <v>2</v>
      </c>
      <c r="W66" s="96">
        <v>4</v>
      </c>
      <c r="X66" s="96"/>
      <c r="Y66" s="96"/>
      <c r="Z66" s="96"/>
      <c r="AA66" s="194"/>
      <c r="AB66" s="96">
        <f>ROUNDUP(AVERAGE(Table13[[#This Row],[% of population in sites with access to functioning complaints and feedback mechanisms]:[% of population in sites/communities reporting protection incidents in the last 3 months]]),0)</f>
        <v>3</v>
      </c>
      <c r="AC66"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66" s="59">
        <f>Table1345[[#This Row],[FSC Severity]]</f>
        <v>3</v>
      </c>
      <c r="AF66" s="59">
        <f>Table1345[[#This Row],[Education Severity]]</f>
        <v>3</v>
      </c>
      <c r="AG66" s="59" t="str">
        <f>Table1345[[#This Row],[Nutrition Severity]]</f>
        <v>3</v>
      </c>
      <c r="AH66" s="59">
        <f>Table1345[[#This Row],[WASH_Severity]]</f>
        <v>4</v>
      </c>
      <c r="AI66" s="59">
        <f>Table1345[[#This Row],[Health Severity]]</f>
        <v>2</v>
      </c>
      <c r="AJ66" s="59">
        <f>Table1345[[#This Row],[Protection/GBV Severity]]</f>
        <v>3</v>
      </c>
      <c r="AK66" s="59">
        <f>Table1345[[#This Row],[CP_Severity]]</f>
        <v>3</v>
      </c>
      <c r="AL66" s="59">
        <f>Table1345[[#This Row],[Shelter/NFIs Severity]]</f>
        <v>0</v>
      </c>
      <c r="AM66" s="59">
        <f>Table1345[[#This Row],[CCCM_Severity]]</f>
        <v>0</v>
      </c>
    </row>
    <row r="67" spans="1:39" x14ac:dyDescent="0.2">
      <c r="A67" s="95" t="s">
        <v>47</v>
      </c>
      <c r="B67" s="95" t="s">
        <v>51</v>
      </c>
      <c r="C67" s="96"/>
      <c r="D67" s="96"/>
      <c r="E67" s="96">
        <v>3</v>
      </c>
      <c r="F67" s="96">
        <v>3</v>
      </c>
      <c r="G67" s="96">
        <v>3</v>
      </c>
      <c r="H67" s="96">
        <v>4</v>
      </c>
      <c r="I67" s="96">
        <v>1</v>
      </c>
      <c r="J67" s="96">
        <v>3</v>
      </c>
      <c r="K67" s="96">
        <v>3</v>
      </c>
      <c r="L67" s="96">
        <v>2</v>
      </c>
      <c r="M67" s="96">
        <v>5</v>
      </c>
      <c r="N67" s="96">
        <v>2</v>
      </c>
      <c r="O67" s="96">
        <v>2</v>
      </c>
      <c r="P67" s="96">
        <v>1</v>
      </c>
      <c r="Q67" s="96" t="s">
        <v>402</v>
      </c>
      <c r="R67" s="96" t="s">
        <v>402</v>
      </c>
      <c r="S67" s="96">
        <v>5</v>
      </c>
      <c r="T67" s="96"/>
      <c r="U67" s="96"/>
      <c r="V67" s="96">
        <v>2</v>
      </c>
      <c r="W67" s="96">
        <v>4</v>
      </c>
      <c r="X67" s="96"/>
      <c r="Y67" s="96"/>
      <c r="Z67" s="96"/>
      <c r="AA67" s="194"/>
      <c r="AB67" s="96">
        <f>ROUNDUP(AVERAGE(Table13[[#This Row],[% of population in sites with access to functioning complaints and feedback mechanisms]:[% of population in sites/communities reporting protection incidents in the last 3 months]]),0)</f>
        <v>3</v>
      </c>
      <c r="AC67"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67" s="59">
        <f>Table1345[[#This Row],[FSC Severity]]</f>
        <v>3</v>
      </c>
      <c r="AF67" s="59">
        <f>Table1345[[#This Row],[Education Severity]]</f>
        <v>4</v>
      </c>
      <c r="AG67" s="59" t="str">
        <f>Table1345[[#This Row],[Nutrition Severity]]</f>
        <v>4</v>
      </c>
      <c r="AH67" s="59">
        <f>Table1345[[#This Row],[WASH_Severity]]</f>
        <v>4</v>
      </c>
      <c r="AI67" s="59">
        <f>Table1345[[#This Row],[Health Severity]]</f>
        <v>2</v>
      </c>
      <c r="AJ67" s="59">
        <f>Table1345[[#This Row],[Protection/GBV Severity]]</f>
        <v>3</v>
      </c>
      <c r="AK67" s="59">
        <f>Table1345[[#This Row],[CP_Severity]]</f>
        <v>3</v>
      </c>
      <c r="AL67" s="59">
        <f>Table1345[[#This Row],[Shelter/NFIs Severity]]</f>
        <v>0</v>
      </c>
      <c r="AM67" s="59">
        <f>Table1345[[#This Row],[CCCM_Severity]]</f>
        <v>0</v>
      </c>
    </row>
    <row r="68" spans="1:39" x14ac:dyDescent="0.2">
      <c r="A68" s="95" t="s">
        <v>47</v>
      </c>
      <c r="B68" s="95" t="s">
        <v>52</v>
      </c>
      <c r="C68" s="96"/>
      <c r="D68" s="96"/>
      <c r="E68" s="96">
        <v>3</v>
      </c>
      <c r="F68" s="96">
        <v>3</v>
      </c>
      <c r="G68" s="96">
        <v>3</v>
      </c>
      <c r="H68" s="96">
        <v>5</v>
      </c>
      <c r="I68" s="96">
        <v>1</v>
      </c>
      <c r="J68" s="96">
        <v>1</v>
      </c>
      <c r="K68" s="96">
        <v>3</v>
      </c>
      <c r="L68" s="96">
        <v>2</v>
      </c>
      <c r="M68" s="96">
        <v>5</v>
      </c>
      <c r="N68" s="96">
        <v>3</v>
      </c>
      <c r="O68" s="96">
        <v>2</v>
      </c>
      <c r="P68" s="96">
        <v>2</v>
      </c>
      <c r="Q68" s="96" t="s">
        <v>399</v>
      </c>
      <c r="R68" s="96" t="s">
        <v>399</v>
      </c>
      <c r="S68" s="96">
        <v>5</v>
      </c>
      <c r="T68" s="96"/>
      <c r="U68" s="96"/>
      <c r="V68" s="96">
        <v>1</v>
      </c>
      <c r="W68" s="96">
        <v>3</v>
      </c>
      <c r="X68" s="96"/>
      <c r="Y68" s="96"/>
      <c r="Z68" s="96"/>
      <c r="AA68" s="194"/>
      <c r="AB68" s="96">
        <f>ROUNDUP(AVERAGE(Table13[[#This Row],[% of population in sites with access to functioning complaints and feedback mechanisms]:[% of population in sites/communities reporting protection incidents in the last 3 months]]),0)</f>
        <v>3</v>
      </c>
      <c r="AC68"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68" s="59">
        <f>Table1345[[#This Row],[FSC Severity]]</f>
        <v>3</v>
      </c>
      <c r="AF68" s="59">
        <f>Table1345[[#This Row],[Education Severity]]</f>
        <v>3</v>
      </c>
      <c r="AG68" s="59" t="str">
        <f>Table1345[[#This Row],[Nutrition Severity]]</f>
        <v>3</v>
      </c>
      <c r="AH68" s="59">
        <f>Table1345[[#This Row],[WASH_Severity]]</f>
        <v>3</v>
      </c>
      <c r="AI68" s="59">
        <f>Table1345[[#This Row],[Health Severity]]</f>
        <v>3</v>
      </c>
      <c r="AJ68" s="59">
        <f>Table1345[[#This Row],[Protection/GBV Severity]]</f>
        <v>3</v>
      </c>
      <c r="AK68" s="59">
        <f>Table1345[[#This Row],[CP_Severity]]</f>
        <v>3</v>
      </c>
      <c r="AL68" s="59">
        <f>Table1345[[#This Row],[Shelter/NFIs Severity]]</f>
        <v>0</v>
      </c>
      <c r="AM68" s="59">
        <f>Table1345[[#This Row],[CCCM_Severity]]</f>
        <v>0</v>
      </c>
    </row>
    <row r="69" spans="1:39" x14ac:dyDescent="0.2">
      <c r="A69" s="95" t="s">
        <v>47</v>
      </c>
      <c r="B69" s="95" t="s">
        <v>53</v>
      </c>
      <c r="C69" s="96"/>
      <c r="D69" s="96"/>
      <c r="E69" s="96">
        <v>5</v>
      </c>
      <c r="F69" s="96">
        <v>3</v>
      </c>
      <c r="G69" s="96">
        <v>3</v>
      </c>
      <c r="H69" s="96">
        <v>5</v>
      </c>
      <c r="I69" s="96">
        <v>1</v>
      </c>
      <c r="J69" s="96">
        <v>2</v>
      </c>
      <c r="K69" s="96">
        <v>3</v>
      </c>
      <c r="L69" s="96">
        <v>2</v>
      </c>
      <c r="M69" s="96">
        <v>5</v>
      </c>
      <c r="N69" s="96">
        <v>4</v>
      </c>
      <c r="O69" s="96">
        <v>3</v>
      </c>
      <c r="P69" s="96">
        <v>3</v>
      </c>
      <c r="Q69" s="96" t="s">
        <v>401</v>
      </c>
      <c r="R69" s="96" t="s">
        <v>401</v>
      </c>
      <c r="S69" s="96">
        <v>5</v>
      </c>
      <c r="T69" s="96"/>
      <c r="U69" s="96"/>
      <c r="V69" s="96">
        <v>1</v>
      </c>
      <c r="W69" s="96">
        <v>4</v>
      </c>
      <c r="X69" s="96"/>
      <c r="Y69" s="96"/>
      <c r="Z69" s="96"/>
      <c r="AA69" s="194"/>
      <c r="AB69" s="96">
        <f>ROUNDUP(AVERAGE(Table13[[#This Row],[% of population in sites with access to functioning complaints and feedback mechanisms]:[% of population in sites/communities reporting protection incidents in the last 3 months]]),0)</f>
        <v>4</v>
      </c>
      <c r="AC69"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69" s="59">
        <f>Table1345[[#This Row],[FSC Severity]]</f>
        <v>3</v>
      </c>
      <c r="AF69" s="59">
        <f>Table1345[[#This Row],[Education Severity]]</f>
        <v>4</v>
      </c>
      <c r="AG69" s="59" t="str">
        <f>Table1345[[#This Row],[Nutrition Severity]]</f>
        <v>2</v>
      </c>
      <c r="AH69" s="59">
        <f>Table1345[[#This Row],[WASH_Severity]]</f>
        <v>4</v>
      </c>
      <c r="AI69" s="59">
        <f>Table1345[[#This Row],[Health Severity]]</f>
        <v>4</v>
      </c>
      <c r="AJ69" s="59">
        <f>Table1345[[#This Row],[Protection/GBV Severity]]</f>
        <v>3</v>
      </c>
      <c r="AK69" s="59">
        <f>Table1345[[#This Row],[CP_Severity]]</f>
        <v>3.6666666666666665</v>
      </c>
      <c r="AL69" s="59">
        <f>Table1345[[#This Row],[Shelter/NFIs Severity]]</f>
        <v>0</v>
      </c>
      <c r="AM69" s="59">
        <f>Table1345[[#This Row],[CCCM_Severity]]</f>
        <v>0</v>
      </c>
    </row>
    <row r="70" spans="1:39" x14ac:dyDescent="0.2">
      <c r="A70" s="95" t="s">
        <v>47</v>
      </c>
      <c r="B70" s="95" t="s">
        <v>55</v>
      </c>
      <c r="C70" s="96"/>
      <c r="D70" s="96"/>
      <c r="E70" s="96"/>
      <c r="F70" s="96">
        <v>1</v>
      </c>
      <c r="G70" s="96">
        <v>1</v>
      </c>
      <c r="H70" s="96"/>
      <c r="I70" s="96"/>
      <c r="J70" s="96"/>
      <c r="K70" s="96">
        <v>3</v>
      </c>
      <c r="L70" s="96">
        <v>2</v>
      </c>
      <c r="M70" s="96">
        <v>5</v>
      </c>
      <c r="N70" s="96">
        <v>2</v>
      </c>
      <c r="O70" s="96">
        <v>0</v>
      </c>
      <c r="P70" s="96">
        <v>2</v>
      </c>
      <c r="Q70" s="96" t="s">
        <v>402</v>
      </c>
      <c r="R70" s="96" t="s">
        <v>400</v>
      </c>
      <c r="S70" s="96">
        <v>5</v>
      </c>
      <c r="T70" s="96"/>
      <c r="U70" s="96"/>
      <c r="V70" s="96">
        <v>1</v>
      </c>
      <c r="W70" s="96">
        <v>1</v>
      </c>
      <c r="X70" s="96"/>
      <c r="Y70" s="96"/>
      <c r="Z70" s="96"/>
      <c r="AA70" s="194"/>
      <c r="AB70" s="96">
        <f>ROUNDUP(AVERAGE(Table13[[#This Row],[% of population in sites with access to functioning complaints and feedback mechanisms]:[% of population in sites/communities reporting protection incidents in the last 3 months]]),0)</f>
        <v>3</v>
      </c>
      <c r="AC70"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2</v>
      </c>
      <c r="AE70" s="59">
        <f>Table1345[[#This Row],[FSC Severity]]</f>
        <v>3</v>
      </c>
      <c r="AF70" s="59">
        <f>Table1345[[#This Row],[Education Severity]]</f>
        <v>0</v>
      </c>
      <c r="AG70" s="59" t="str">
        <f>Table1345[[#This Row],[Nutrition Severity]]</f>
        <v>4</v>
      </c>
      <c r="AH70" s="59">
        <f>Table1345[[#This Row],[WASH_Severity]]</f>
        <v>1</v>
      </c>
      <c r="AI70" s="59">
        <f>Table1345[[#This Row],[Health Severity]]</f>
        <v>2</v>
      </c>
      <c r="AJ70" s="59">
        <f>Table1345[[#This Row],[Protection/GBV Severity]]</f>
        <v>3</v>
      </c>
      <c r="AK70" s="59">
        <f>Table1345[[#This Row],[CP_Severity]]</f>
        <v>1</v>
      </c>
      <c r="AL70" s="59">
        <f>Table1345[[#This Row],[Shelter/NFIs Severity]]</f>
        <v>0</v>
      </c>
      <c r="AM70" s="59">
        <f>Table1345[[#This Row],[CCCM_Severity]]</f>
        <v>0</v>
      </c>
    </row>
    <row r="71" spans="1:39" x14ac:dyDescent="0.2">
      <c r="A71" s="95" t="s">
        <v>56</v>
      </c>
      <c r="B71" s="95" t="s">
        <v>97</v>
      </c>
      <c r="C71" s="96"/>
      <c r="D71" s="96"/>
      <c r="E71" s="96">
        <v>3</v>
      </c>
      <c r="F71" s="96">
        <v>2</v>
      </c>
      <c r="G71" s="96">
        <v>2</v>
      </c>
      <c r="H71" s="96">
        <v>4</v>
      </c>
      <c r="I71" s="96">
        <v>1</v>
      </c>
      <c r="J71" s="96">
        <v>4</v>
      </c>
      <c r="K71" s="96">
        <v>3</v>
      </c>
      <c r="L71" s="96">
        <v>3</v>
      </c>
      <c r="M71" s="96">
        <v>5</v>
      </c>
      <c r="N71" s="96">
        <v>3</v>
      </c>
      <c r="O71" s="96">
        <v>2</v>
      </c>
      <c r="P71" s="96">
        <v>1</v>
      </c>
      <c r="Q71" s="96" t="s">
        <v>402</v>
      </c>
      <c r="R71" s="96" t="s">
        <v>402</v>
      </c>
      <c r="S71" s="96">
        <v>5</v>
      </c>
      <c r="T71" s="96"/>
      <c r="U71" s="96"/>
      <c r="V71" s="96">
        <v>2</v>
      </c>
      <c r="W71" s="96">
        <v>4</v>
      </c>
      <c r="X71" s="96"/>
      <c r="Y71" s="96"/>
      <c r="Z71" s="96"/>
      <c r="AA71" s="194"/>
      <c r="AB71" s="96">
        <f>ROUNDUP(AVERAGE(Table13[[#This Row],[% of population in sites with access to functioning complaints and feedback mechanisms]:[% of population in sites/communities reporting protection incidents in the last 3 months]]),0)</f>
        <v>3</v>
      </c>
      <c r="AC71"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71" s="59">
        <f>Table1345[[#This Row],[FSC Severity]]</f>
        <v>3</v>
      </c>
      <c r="AF71" s="59">
        <f>Table1345[[#This Row],[Education Severity]]</f>
        <v>4</v>
      </c>
      <c r="AG71" s="59" t="str">
        <f>Table1345[[#This Row],[Nutrition Severity]]</f>
        <v>4</v>
      </c>
      <c r="AH71" s="59">
        <f>Table1345[[#This Row],[WASH_Severity]]</f>
        <v>4</v>
      </c>
      <c r="AI71" s="59">
        <f>Table1345[[#This Row],[Health Severity]]</f>
        <v>2</v>
      </c>
      <c r="AJ71" s="59">
        <f>Table1345[[#This Row],[Protection/GBV Severity]]</f>
        <v>3</v>
      </c>
      <c r="AK71" s="59">
        <f>Table1345[[#This Row],[CP_Severity]]</f>
        <v>3</v>
      </c>
      <c r="AL71" s="59">
        <f>Table1345[[#This Row],[Shelter/NFIs Severity]]</f>
        <v>0</v>
      </c>
      <c r="AM71" s="59">
        <f>Table1345[[#This Row],[CCCM_Severity]]</f>
        <v>0</v>
      </c>
    </row>
    <row r="72" spans="1:39" x14ac:dyDescent="0.2">
      <c r="A72" s="95" t="s">
        <v>56</v>
      </c>
      <c r="B72" s="95" t="s">
        <v>64</v>
      </c>
      <c r="C72" s="96"/>
      <c r="D72" s="96"/>
      <c r="E72" s="96"/>
      <c r="F72" s="96">
        <v>1</v>
      </c>
      <c r="G72" s="96">
        <v>1</v>
      </c>
      <c r="H72" s="96"/>
      <c r="I72" s="96"/>
      <c r="J72" s="96"/>
      <c r="K72" s="96">
        <v>3</v>
      </c>
      <c r="L72" s="96">
        <v>3</v>
      </c>
      <c r="M72" s="96">
        <v>5</v>
      </c>
      <c r="N72" s="96">
        <v>3</v>
      </c>
      <c r="O72" s="96">
        <v>2</v>
      </c>
      <c r="P72" s="96">
        <v>1</v>
      </c>
      <c r="Q72" s="96" t="s">
        <v>401</v>
      </c>
      <c r="R72" s="96" t="s">
        <v>400</v>
      </c>
      <c r="S72" s="96">
        <v>5</v>
      </c>
      <c r="T72" s="96"/>
      <c r="U72" s="96"/>
      <c r="V72" s="96">
        <v>3</v>
      </c>
      <c r="W72" s="96">
        <v>3</v>
      </c>
      <c r="X72" s="96"/>
      <c r="Y72" s="96"/>
      <c r="Z72" s="96"/>
      <c r="AA72" s="194"/>
      <c r="AB72" s="96">
        <f>ROUNDUP(AVERAGE(Table13[[#This Row],[% of population in sites with access to functioning complaints and feedback mechanisms]:[% of population in sites/communities reporting protection incidents in the last 3 months]]),0)</f>
        <v>3</v>
      </c>
      <c r="AC72"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72" s="59">
        <f>Table1345[[#This Row],[FSC Severity]]</f>
        <v>3</v>
      </c>
      <c r="AF72" s="59">
        <f>Table1345[[#This Row],[Education Severity]]</f>
        <v>0</v>
      </c>
      <c r="AG72" s="59" t="str">
        <f>Table1345[[#This Row],[Nutrition Severity]]</f>
        <v>2</v>
      </c>
      <c r="AH72" s="59">
        <f>Table1345[[#This Row],[WASH_Severity]]</f>
        <v>3</v>
      </c>
      <c r="AI72" s="59">
        <f>Table1345[[#This Row],[Health Severity]]</f>
        <v>2</v>
      </c>
      <c r="AJ72" s="59">
        <f>Table1345[[#This Row],[Protection/GBV Severity]]</f>
        <v>3</v>
      </c>
      <c r="AK72" s="59">
        <f>Table1345[[#This Row],[CP_Severity]]</f>
        <v>1</v>
      </c>
      <c r="AL72" s="59">
        <f>Table1345[[#This Row],[Shelter/NFIs Severity]]</f>
        <v>0</v>
      </c>
      <c r="AM72" s="59">
        <f>Table1345[[#This Row],[CCCM_Severity]]</f>
        <v>0</v>
      </c>
    </row>
    <row r="73" spans="1:39" x14ac:dyDescent="0.2">
      <c r="A73" s="95" t="s">
        <v>56</v>
      </c>
      <c r="B73" s="95" t="s">
        <v>57</v>
      </c>
      <c r="C73" s="96"/>
      <c r="D73" s="96"/>
      <c r="E73" s="96">
        <v>4</v>
      </c>
      <c r="F73" s="96">
        <v>2</v>
      </c>
      <c r="G73" s="96">
        <v>2</v>
      </c>
      <c r="H73" s="96">
        <v>5</v>
      </c>
      <c r="I73" s="96">
        <v>1</v>
      </c>
      <c r="J73" s="96">
        <v>4</v>
      </c>
      <c r="K73" s="96">
        <v>3</v>
      </c>
      <c r="L73" s="96">
        <v>3</v>
      </c>
      <c r="M73" s="96">
        <v>5</v>
      </c>
      <c r="N73" s="96">
        <v>4</v>
      </c>
      <c r="O73" s="96">
        <v>2</v>
      </c>
      <c r="P73" s="96">
        <v>5</v>
      </c>
      <c r="Q73" s="96" t="s">
        <v>401</v>
      </c>
      <c r="R73" s="96" t="s">
        <v>401</v>
      </c>
      <c r="S73" s="96">
        <v>5</v>
      </c>
      <c r="T73" s="96"/>
      <c r="U73" s="96"/>
      <c r="V73" s="96">
        <v>3</v>
      </c>
      <c r="W73" s="96">
        <v>3</v>
      </c>
      <c r="X73" s="96"/>
      <c r="Y73" s="96"/>
      <c r="Z73" s="96"/>
      <c r="AA73" s="194"/>
      <c r="AB73" s="96">
        <f>ROUNDUP(AVERAGE(Table13[[#This Row],[% of population in sites with access to functioning complaints and feedback mechanisms]:[% of population in sites/communities reporting protection incidents in the last 3 months]]),0)</f>
        <v>4</v>
      </c>
      <c r="AC73"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4</v>
      </c>
      <c r="AE73" s="59">
        <f>Table1345[[#This Row],[FSC Severity]]</f>
        <v>3</v>
      </c>
      <c r="AF73" s="59">
        <f>Table1345[[#This Row],[Education Severity]]</f>
        <v>5</v>
      </c>
      <c r="AG73" s="59" t="str">
        <f>Table1345[[#This Row],[Nutrition Severity]]</f>
        <v>2</v>
      </c>
      <c r="AH73" s="59">
        <f>Table1345[[#This Row],[WASH_Severity]]</f>
        <v>3</v>
      </c>
      <c r="AI73" s="59">
        <f>Table1345[[#This Row],[Health Severity]]</f>
        <v>4</v>
      </c>
      <c r="AJ73" s="59">
        <f>Table1345[[#This Row],[Protection/GBV Severity]]</f>
        <v>3</v>
      </c>
      <c r="AK73" s="59">
        <f>Table1345[[#This Row],[CP_Severity]]</f>
        <v>2.6666666666666665</v>
      </c>
      <c r="AL73" s="59">
        <f>Table1345[[#This Row],[Shelter/NFIs Severity]]</f>
        <v>0</v>
      </c>
      <c r="AM73" s="59">
        <f>Table1345[[#This Row],[CCCM_Severity]]</f>
        <v>0</v>
      </c>
    </row>
    <row r="74" spans="1:39" x14ac:dyDescent="0.2">
      <c r="A74" s="95" t="s">
        <v>56</v>
      </c>
      <c r="B74" s="95" t="s">
        <v>59</v>
      </c>
      <c r="C74" s="96"/>
      <c r="D74" s="96"/>
      <c r="E74" s="96">
        <v>3</v>
      </c>
      <c r="F74" s="96">
        <v>2</v>
      </c>
      <c r="G74" s="96">
        <v>2</v>
      </c>
      <c r="H74" s="96">
        <v>4</v>
      </c>
      <c r="I74" s="96">
        <v>1</v>
      </c>
      <c r="J74" s="96">
        <v>5</v>
      </c>
      <c r="K74" s="96">
        <v>3</v>
      </c>
      <c r="L74" s="96">
        <v>3</v>
      </c>
      <c r="M74" s="96">
        <v>5</v>
      </c>
      <c r="N74" s="96">
        <v>4</v>
      </c>
      <c r="O74" s="96">
        <v>2</v>
      </c>
      <c r="P74" s="96">
        <v>2</v>
      </c>
      <c r="Q74" s="96" t="s">
        <v>402</v>
      </c>
      <c r="R74" s="96" t="s">
        <v>402</v>
      </c>
      <c r="S74" s="96">
        <v>5</v>
      </c>
      <c r="T74" s="96"/>
      <c r="U74" s="96"/>
      <c r="V74" s="96">
        <v>4</v>
      </c>
      <c r="W74" s="96">
        <v>3</v>
      </c>
      <c r="X74" s="96"/>
      <c r="Y74" s="96"/>
      <c r="Z74" s="96"/>
      <c r="AA74" s="194"/>
      <c r="AB74" s="96">
        <f>ROUNDUP(AVERAGE(Table13[[#This Row],[% of population in sites with access to functioning complaints and feedback mechanisms]:[% of population in sites/communities reporting protection incidents in the last 3 months]]),0)</f>
        <v>4</v>
      </c>
      <c r="AC74"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4</v>
      </c>
      <c r="AE74" s="59">
        <f>Table1345[[#This Row],[FSC Severity]]</f>
        <v>3</v>
      </c>
      <c r="AF74" s="59">
        <f>Table1345[[#This Row],[Education Severity]]</f>
        <v>5</v>
      </c>
      <c r="AG74" s="59" t="str">
        <f>Table1345[[#This Row],[Nutrition Severity]]</f>
        <v>4</v>
      </c>
      <c r="AH74" s="59">
        <f>Table1345[[#This Row],[WASH_Severity]]</f>
        <v>4</v>
      </c>
      <c r="AI74" s="59">
        <f>Table1345[[#This Row],[Health Severity]]</f>
        <v>3</v>
      </c>
      <c r="AJ74" s="59">
        <f>Table1345[[#This Row],[Protection/GBV Severity]]</f>
        <v>3</v>
      </c>
      <c r="AK74" s="59">
        <f>Table1345[[#This Row],[CP_Severity]]</f>
        <v>3</v>
      </c>
      <c r="AL74" s="59">
        <f>Table1345[[#This Row],[Shelter/NFIs Severity]]</f>
        <v>0</v>
      </c>
      <c r="AM74" s="59">
        <f>Table1345[[#This Row],[CCCM_Severity]]</f>
        <v>0</v>
      </c>
    </row>
    <row r="75" spans="1:39" x14ac:dyDescent="0.2">
      <c r="A75" s="95" t="s">
        <v>56</v>
      </c>
      <c r="B75" s="95" t="s">
        <v>63</v>
      </c>
      <c r="C75" s="96"/>
      <c r="D75" s="96"/>
      <c r="E75" s="96"/>
      <c r="F75" s="96">
        <v>1</v>
      </c>
      <c r="G75" s="96">
        <v>1</v>
      </c>
      <c r="H75" s="96"/>
      <c r="I75" s="96"/>
      <c r="J75" s="96"/>
      <c r="K75" s="96">
        <v>3</v>
      </c>
      <c r="L75" s="96">
        <v>3</v>
      </c>
      <c r="M75" s="96">
        <v>5</v>
      </c>
      <c r="N75" s="96">
        <v>2</v>
      </c>
      <c r="O75" s="96">
        <v>0</v>
      </c>
      <c r="P75" s="96">
        <v>2</v>
      </c>
      <c r="Q75" s="96" t="s">
        <v>401</v>
      </c>
      <c r="R75" s="96" t="s">
        <v>400</v>
      </c>
      <c r="S75" s="96">
        <v>5</v>
      </c>
      <c r="T75" s="96"/>
      <c r="U75" s="96"/>
      <c r="V75" s="96">
        <v>2</v>
      </c>
      <c r="W75" s="96">
        <v>3</v>
      </c>
      <c r="X75" s="96"/>
      <c r="Y75" s="96"/>
      <c r="Z75" s="96"/>
      <c r="AA75" s="194"/>
      <c r="AB75" s="96">
        <f>ROUNDUP(AVERAGE(Table13[[#This Row],[% of population in sites with access to functioning complaints and feedback mechanisms]:[% of population in sites/communities reporting protection incidents in the last 3 months]]),0)</f>
        <v>3</v>
      </c>
      <c r="AC75"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2</v>
      </c>
      <c r="AE75" s="59">
        <f>Table1345[[#This Row],[FSC Severity]]</f>
        <v>3</v>
      </c>
      <c r="AF75" s="59">
        <f>Table1345[[#This Row],[Education Severity]]</f>
        <v>0</v>
      </c>
      <c r="AG75" s="59" t="str">
        <f>Table1345[[#This Row],[Nutrition Severity]]</f>
        <v>2</v>
      </c>
      <c r="AH75" s="59">
        <f>Table1345[[#This Row],[WASH_Severity]]</f>
        <v>3</v>
      </c>
      <c r="AI75" s="59">
        <f>Table1345[[#This Row],[Health Severity]]</f>
        <v>2</v>
      </c>
      <c r="AJ75" s="59">
        <f>Table1345[[#This Row],[Protection/GBV Severity]]</f>
        <v>3</v>
      </c>
      <c r="AK75" s="59">
        <f>Table1345[[#This Row],[CP_Severity]]</f>
        <v>1</v>
      </c>
      <c r="AL75" s="59">
        <f>Table1345[[#This Row],[Shelter/NFIs Severity]]</f>
        <v>0</v>
      </c>
      <c r="AM75" s="59">
        <f>Table1345[[#This Row],[CCCM_Severity]]</f>
        <v>0</v>
      </c>
    </row>
    <row r="76" spans="1:39" x14ac:dyDescent="0.2">
      <c r="A76" s="95" t="s">
        <v>56</v>
      </c>
      <c r="B76" s="95" t="s">
        <v>60</v>
      </c>
      <c r="C76" s="96"/>
      <c r="D76" s="96"/>
      <c r="E76" s="96">
        <v>3</v>
      </c>
      <c r="F76" s="96">
        <v>2</v>
      </c>
      <c r="G76" s="96">
        <v>2</v>
      </c>
      <c r="H76" s="96">
        <v>4</v>
      </c>
      <c r="I76" s="96">
        <v>1</v>
      </c>
      <c r="J76" s="96">
        <v>5</v>
      </c>
      <c r="K76" s="96">
        <v>3</v>
      </c>
      <c r="L76" s="96">
        <v>3</v>
      </c>
      <c r="M76" s="96">
        <v>5</v>
      </c>
      <c r="N76" s="96">
        <v>3</v>
      </c>
      <c r="O76" s="96">
        <v>2</v>
      </c>
      <c r="P76" s="96">
        <v>1</v>
      </c>
      <c r="Q76" s="96" t="s">
        <v>399</v>
      </c>
      <c r="R76" s="96" t="s">
        <v>399</v>
      </c>
      <c r="S76" s="96">
        <v>5</v>
      </c>
      <c r="T76" s="96"/>
      <c r="U76" s="96"/>
      <c r="V76" s="96">
        <v>3</v>
      </c>
      <c r="W76" s="96">
        <v>3</v>
      </c>
      <c r="X76" s="96"/>
      <c r="Y76" s="96"/>
      <c r="Z76" s="96"/>
      <c r="AA76" s="194"/>
      <c r="AB76" s="96">
        <f>ROUNDUP(AVERAGE(Table13[[#This Row],[% of population in sites with access to functioning complaints and feedback mechanisms]:[% of population in sites/communities reporting protection incidents in the last 3 months]]),0)</f>
        <v>3</v>
      </c>
      <c r="AC76"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76" s="59">
        <f>Table1345[[#This Row],[FSC Severity]]</f>
        <v>3</v>
      </c>
      <c r="AF76" s="59">
        <f>Table1345[[#This Row],[Education Severity]]</f>
        <v>5</v>
      </c>
      <c r="AG76" s="59" t="str">
        <f>Table1345[[#This Row],[Nutrition Severity]]</f>
        <v>3</v>
      </c>
      <c r="AH76" s="59">
        <f>Table1345[[#This Row],[WASH_Severity]]</f>
        <v>3</v>
      </c>
      <c r="AI76" s="59">
        <f>Table1345[[#This Row],[Health Severity]]</f>
        <v>2</v>
      </c>
      <c r="AJ76" s="59">
        <f>Table1345[[#This Row],[Protection/GBV Severity]]</f>
        <v>3</v>
      </c>
      <c r="AK76" s="59">
        <f>Table1345[[#This Row],[CP_Severity]]</f>
        <v>3</v>
      </c>
      <c r="AL76" s="59">
        <f>Table1345[[#This Row],[Shelter/NFIs Severity]]</f>
        <v>0</v>
      </c>
      <c r="AM76" s="59">
        <f>Table1345[[#This Row],[CCCM_Severity]]</f>
        <v>0</v>
      </c>
    </row>
    <row r="77" spans="1:39" x14ac:dyDescent="0.2">
      <c r="A77" s="95" t="s">
        <v>56</v>
      </c>
      <c r="B77" s="95" t="s">
        <v>58</v>
      </c>
      <c r="C77" s="96"/>
      <c r="D77" s="96"/>
      <c r="E77" s="96">
        <v>4</v>
      </c>
      <c r="F77" s="96">
        <v>2</v>
      </c>
      <c r="G77" s="96">
        <v>2</v>
      </c>
      <c r="H77" s="96">
        <v>5</v>
      </c>
      <c r="I77" s="96">
        <v>1</v>
      </c>
      <c r="J77" s="96">
        <v>5</v>
      </c>
      <c r="K77" s="96">
        <v>3</v>
      </c>
      <c r="L77" s="96">
        <v>3</v>
      </c>
      <c r="M77" s="96">
        <v>5</v>
      </c>
      <c r="N77" s="96">
        <v>3</v>
      </c>
      <c r="O77" s="96">
        <v>0</v>
      </c>
      <c r="P77" s="96">
        <v>1</v>
      </c>
      <c r="Q77" s="96" t="s">
        <v>401</v>
      </c>
      <c r="R77" s="96" t="s">
        <v>401</v>
      </c>
      <c r="S77" s="96">
        <v>5</v>
      </c>
      <c r="T77" s="96"/>
      <c r="U77" s="96"/>
      <c r="V77" s="96">
        <v>3</v>
      </c>
      <c r="W77" s="96">
        <v>3</v>
      </c>
      <c r="X77" s="96"/>
      <c r="Y77" s="96"/>
      <c r="Z77" s="96"/>
      <c r="AA77" s="194"/>
      <c r="AB77" s="96">
        <f>ROUNDUP(AVERAGE(Table13[[#This Row],[% of population in sites with access to functioning complaints and feedback mechanisms]:[% of population in sites/communities reporting protection incidents in the last 3 months]]),0)</f>
        <v>3</v>
      </c>
      <c r="AC77"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77" s="59">
        <f>Table1345[[#This Row],[FSC Severity]]</f>
        <v>3</v>
      </c>
      <c r="AF77" s="59">
        <f>Table1345[[#This Row],[Education Severity]]</f>
        <v>5</v>
      </c>
      <c r="AG77" s="59" t="str">
        <f>Table1345[[#This Row],[Nutrition Severity]]</f>
        <v>2</v>
      </c>
      <c r="AH77" s="59">
        <f>Table1345[[#This Row],[WASH_Severity]]</f>
        <v>3</v>
      </c>
      <c r="AI77" s="59">
        <f>Table1345[[#This Row],[Health Severity]]</f>
        <v>2</v>
      </c>
      <c r="AJ77" s="59">
        <f>Table1345[[#This Row],[Protection/GBV Severity]]</f>
        <v>3</v>
      </c>
      <c r="AK77" s="59">
        <f>Table1345[[#This Row],[CP_Severity]]</f>
        <v>2.6666666666666665</v>
      </c>
      <c r="AL77" s="59">
        <f>Table1345[[#This Row],[Shelter/NFIs Severity]]</f>
        <v>0</v>
      </c>
      <c r="AM77" s="59">
        <f>Table1345[[#This Row],[CCCM_Severity]]</f>
        <v>0</v>
      </c>
    </row>
    <row r="78" spans="1:39" x14ac:dyDescent="0.2">
      <c r="A78" s="95" t="s">
        <v>56</v>
      </c>
      <c r="B78" s="95" t="s">
        <v>61</v>
      </c>
      <c r="C78" s="96"/>
      <c r="D78" s="96"/>
      <c r="E78" s="96">
        <v>4</v>
      </c>
      <c r="F78" s="96">
        <v>2</v>
      </c>
      <c r="G78" s="96">
        <v>2</v>
      </c>
      <c r="H78" s="96">
        <v>5</v>
      </c>
      <c r="I78" s="96">
        <v>1</v>
      </c>
      <c r="J78" s="96">
        <v>4</v>
      </c>
      <c r="K78" s="96">
        <v>3</v>
      </c>
      <c r="L78" s="96">
        <v>3</v>
      </c>
      <c r="M78" s="96">
        <v>5</v>
      </c>
      <c r="N78" s="96">
        <v>3</v>
      </c>
      <c r="O78" s="96">
        <v>0</v>
      </c>
      <c r="P78" s="96">
        <v>3</v>
      </c>
      <c r="Q78" s="96" t="s">
        <v>402</v>
      </c>
      <c r="R78" s="96" t="s">
        <v>402</v>
      </c>
      <c r="S78" s="96">
        <v>5</v>
      </c>
      <c r="T78" s="96"/>
      <c r="U78" s="96"/>
      <c r="V78" s="96">
        <v>1</v>
      </c>
      <c r="W78" s="96">
        <v>3</v>
      </c>
      <c r="X78" s="96"/>
      <c r="Y78" s="96"/>
      <c r="Z78" s="96"/>
      <c r="AA78" s="194"/>
      <c r="AB78" s="96">
        <f>ROUNDUP(AVERAGE(Table13[[#This Row],[% of population in sites with access to functioning complaints and feedback mechanisms]:[% of population in sites/communities reporting protection incidents in the last 3 months]]),0)</f>
        <v>3</v>
      </c>
      <c r="AC78"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78" s="59">
        <f>Table1345[[#This Row],[FSC Severity]]</f>
        <v>3</v>
      </c>
      <c r="AF78" s="59">
        <f>Table1345[[#This Row],[Education Severity]]</f>
        <v>5</v>
      </c>
      <c r="AG78" s="59" t="str">
        <f>Table1345[[#This Row],[Nutrition Severity]]</f>
        <v>4</v>
      </c>
      <c r="AH78" s="59">
        <f>Table1345[[#This Row],[WASH_Severity]]</f>
        <v>3</v>
      </c>
      <c r="AI78" s="59">
        <f>Table1345[[#This Row],[Health Severity]]</f>
        <v>2</v>
      </c>
      <c r="AJ78" s="59">
        <f>Table1345[[#This Row],[Protection/GBV Severity]]</f>
        <v>3</v>
      </c>
      <c r="AK78" s="59">
        <f>Table1345[[#This Row],[CP_Severity]]</f>
        <v>2.6666666666666665</v>
      </c>
      <c r="AL78" s="59">
        <f>Table1345[[#This Row],[Shelter/NFIs Severity]]</f>
        <v>0</v>
      </c>
      <c r="AM78" s="59">
        <f>Table1345[[#This Row],[CCCM_Severity]]</f>
        <v>0</v>
      </c>
    </row>
    <row r="79" spans="1:39" x14ac:dyDescent="0.2">
      <c r="A79" s="95" t="s">
        <v>56</v>
      </c>
      <c r="B79" s="95" t="s">
        <v>65</v>
      </c>
      <c r="C79" s="96"/>
      <c r="D79" s="96"/>
      <c r="E79" s="96"/>
      <c r="F79" s="96">
        <v>1</v>
      </c>
      <c r="G79" s="96">
        <v>1</v>
      </c>
      <c r="H79" s="96"/>
      <c r="I79" s="96"/>
      <c r="J79" s="96"/>
      <c r="K79" s="96">
        <v>3</v>
      </c>
      <c r="L79" s="96">
        <v>3</v>
      </c>
      <c r="M79" s="96">
        <v>5</v>
      </c>
      <c r="N79" s="96">
        <v>1</v>
      </c>
      <c r="O79" s="96">
        <v>0</v>
      </c>
      <c r="P79" s="96">
        <v>1</v>
      </c>
      <c r="Q79" s="96" t="s">
        <v>401</v>
      </c>
      <c r="R79" s="96" t="s">
        <v>400</v>
      </c>
      <c r="S79" s="96">
        <v>5</v>
      </c>
      <c r="T79" s="96"/>
      <c r="U79" s="96"/>
      <c r="V79" s="96">
        <v>3</v>
      </c>
      <c r="W79" s="96">
        <v>2</v>
      </c>
      <c r="X79" s="96"/>
      <c r="Y79" s="96"/>
      <c r="Z79" s="96"/>
      <c r="AA79" s="194"/>
      <c r="AB79" s="96">
        <f>ROUNDUP(AVERAGE(Table13[[#This Row],[% of population in sites with access to functioning complaints and feedback mechanisms]:[% of population in sites/communities reporting protection incidents in the last 3 months]]),0)</f>
        <v>3</v>
      </c>
      <c r="AC79"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2</v>
      </c>
      <c r="AE79" s="59">
        <f>Table1345[[#This Row],[FSC Severity]]</f>
        <v>3</v>
      </c>
      <c r="AF79" s="59">
        <f>Table1345[[#This Row],[Education Severity]]</f>
        <v>0</v>
      </c>
      <c r="AG79" s="59" t="str">
        <f>Table1345[[#This Row],[Nutrition Severity]]</f>
        <v>2</v>
      </c>
      <c r="AH79" s="59">
        <f>Table1345[[#This Row],[WASH_Severity]]</f>
        <v>3</v>
      </c>
      <c r="AI79" s="59">
        <f>Table1345[[#This Row],[Health Severity]]</f>
        <v>1</v>
      </c>
      <c r="AJ79" s="59">
        <f>Table1345[[#This Row],[Protection/GBV Severity]]</f>
        <v>3</v>
      </c>
      <c r="AK79" s="59">
        <f>Table1345[[#This Row],[CP_Severity]]</f>
        <v>1</v>
      </c>
      <c r="AL79" s="59">
        <f>Table1345[[#This Row],[Shelter/NFIs Severity]]</f>
        <v>0</v>
      </c>
      <c r="AM79" s="59">
        <f>Table1345[[#This Row],[CCCM_Severity]]</f>
        <v>0</v>
      </c>
    </row>
    <row r="80" spans="1:39" x14ac:dyDescent="0.2">
      <c r="A80" s="95" t="s">
        <v>56</v>
      </c>
      <c r="B80" s="95" t="s">
        <v>62</v>
      </c>
      <c r="C80" s="96"/>
      <c r="D80" s="96"/>
      <c r="E80" s="96">
        <v>3</v>
      </c>
      <c r="F80" s="96">
        <v>3</v>
      </c>
      <c r="G80" s="96">
        <v>3</v>
      </c>
      <c r="H80" s="96">
        <v>4</v>
      </c>
      <c r="I80" s="96">
        <v>1</v>
      </c>
      <c r="J80" s="96">
        <v>4</v>
      </c>
      <c r="K80" s="96">
        <v>3</v>
      </c>
      <c r="L80" s="96">
        <v>3</v>
      </c>
      <c r="M80" s="96">
        <v>4</v>
      </c>
      <c r="N80" s="96">
        <v>3</v>
      </c>
      <c r="O80" s="96">
        <v>0</v>
      </c>
      <c r="P80" s="96">
        <v>2</v>
      </c>
      <c r="Q80" s="96" t="s">
        <v>401</v>
      </c>
      <c r="R80" s="96" t="s">
        <v>401</v>
      </c>
      <c r="S80" s="96">
        <v>5</v>
      </c>
      <c r="T80" s="96"/>
      <c r="U80" s="96"/>
      <c r="V80" s="96">
        <v>1</v>
      </c>
      <c r="W80" s="96">
        <v>2</v>
      </c>
      <c r="X80" s="96"/>
      <c r="Y80" s="96"/>
      <c r="Z80" s="96"/>
      <c r="AA80" s="194"/>
      <c r="AB80" s="96">
        <f>ROUNDUP(AVERAGE(Table13[[#This Row],[% of population in sites with access to functioning complaints and feedback mechanisms]:[% of population in sites/communities reporting protection incidents in the last 3 months]]),0)</f>
        <v>3</v>
      </c>
      <c r="AC80"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80" s="59">
        <f>Table1345[[#This Row],[FSC Severity]]</f>
        <v>3</v>
      </c>
      <c r="AF80" s="59">
        <f>Table1345[[#This Row],[Education Severity]]</f>
        <v>4</v>
      </c>
      <c r="AG80" s="59" t="str">
        <f>Table1345[[#This Row],[Nutrition Severity]]</f>
        <v>2</v>
      </c>
      <c r="AH80" s="59">
        <f>Table1345[[#This Row],[WASH_Severity]]</f>
        <v>2</v>
      </c>
      <c r="AI80" s="59">
        <f>Table1345[[#This Row],[Health Severity]]</f>
        <v>2</v>
      </c>
      <c r="AJ80" s="59">
        <f>Table1345[[#This Row],[Protection/GBV Severity]]</f>
        <v>3</v>
      </c>
      <c r="AK80" s="59">
        <f>Table1345[[#This Row],[CP_Severity]]</f>
        <v>3</v>
      </c>
      <c r="AL80" s="59">
        <f>Table1345[[#This Row],[Shelter/NFIs Severity]]</f>
        <v>0</v>
      </c>
      <c r="AM80" s="59">
        <f>Table1345[[#This Row],[CCCM_Severity]]</f>
        <v>0</v>
      </c>
    </row>
    <row r="81" spans="1:39" x14ac:dyDescent="0.2">
      <c r="A81" s="95" t="s">
        <v>66</v>
      </c>
      <c r="B81" s="95" t="s">
        <v>67</v>
      </c>
      <c r="C81" s="96"/>
      <c r="D81" s="96"/>
      <c r="E81" s="96">
        <v>2</v>
      </c>
      <c r="F81" s="96">
        <v>3</v>
      </c>
      <c r="G81" s="96">
        <v>3</v>
      </c>
      <c r="H81" s="96">
        <v>3</v>
      </c>
      <c r="I81" s="96">
        <v>1</v>
      </c>
      <c r="J81" s="96">
        <v>2</v>
      </c>
      <c r="K81" s="96">
        <v>3</v>
      </c>
      <c r="L81" s="96">
        <v>4</v>
      </c>
      <c r="M81" s="96">
        <v>5</v>
      </c>
      <c r="N81" s="96">
        <v>2</v>
      </c>
      <c r="O81" s="96">
        <v>2</v>
      </c>
      <c r="P81" s="96">
        <v>2</v>
      </c>
      <c r="Q81" s="96" t="s">
        <v>400</v>
      </c>
      <c r="R81" s="96" t="s">
        <v>400</v>
      </c>
      <c r="S81" s="96">
        <v>5</v>
      </c>
      <c r="T81" s="96"/>
      <c r="U81" s="96"/>
      <c r="V81" s="96">
        <v>3</v>
      </c>
      <c r="W81" s="96">
        <v>3</v>
      </c>
      <c r="X81" s="96"/>
      <c r="Y81" s="96"/>
      <c r="Z81" s="96"/>
      <c r="AA81" s="194"/>
      <c r="AB81" s="96">
        <f>ROUNDUP(AVERAGE(Table13[[#This Row],[% of population in sites with access to functioning complaints and feedback mechanisms]:[% of population in sites/communities reporting protection incidents in the last 3 months]]),0)</f>
        <v>3</v>
      </c>
      <c r="AC81"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81" s="59">
        <f>Table1345[[#This Row],[FSC Severity]]</f>
        <v>3</v>
      </c>
      <c r="AF81" s="59">
        <f>Table1345[[#This Row],[Education Severity]]</f>
        <v>3</v>
      </c>
      <c r="AG81" s="59" t="str">
        <f>Table1345[[#This Row],[Nutrition Severity]]</f>
        <v>1</v>
      </c>
      <c r="AH81" s="59">
        <f>Table1345[[#This Row],[WASH_Severity]]</f>
        <v>3</v>
      </c>
      <c r="AI81" s="59">
        <f>Table1345[[#This Row],[Health Severity]]</f>
        <v>2</v>
      </c>
      <c r="AJ81" s="59">
        <f>Table1345[[#This Row],[Protection/GBV Severity]]</f>
        <v>3.5</v>
      </c>
      <c r="AK81" s="59">
        <f>Table1345[[#This Row],[CP_Severity]]</f>
        <v>2.6666666666666665</v>
      </c>
      <c r="AL81" s="59">
        <f>Table1345[[#This Row],[Shelter/NFIs Severity]]</f>
        <v>0</v>
      </c>
      <c r="AM81" s="59">
        <f>Table1345[[#This Row],[CCCM_Severity]]</f>
        <v>0</v>
      </c>
    </row>
    <row r="82" spans="1:39" x14ac:dyDescent="0.2">
      <c r="A82" s="95" t="s">
        <v>66</v>
      </c>
      <c r="B82" s="95" t="s">
        <v>68</v>
      </c>
      <c r="C82" s="96"/>
      <c r="D82" s="96"/>
      <c r="E82" s="96">
        <v>4</v>
      </c>
      <c r="F82" s="96">
        <v>3</v>
      </c>
      <c r="G82" s="96">
        <v>3</v>
      </c>
      <c r="H82" s="96">
        <v>5</v>
      </c>
      <c r="I82" s="96">
        <v>2</v>
      </c>
      <c r="J82" s="96">
        <v>2</v>
      </c>
      <c r="K82" s="96">
        <v>3</v>
      </c>
      <c r="L82" s="96">
        <v>4</v>
      </c>
      <c r="M82" s="96">
        <v>5</v>
      </c>
      <c r="N82" s="96">
        <v>2</v>
      </c>
      <c r="O82" s="96">
        <v>3</v>
      </c>
      <c r="P82" s="96">
        <v>2</v>
      </c>
      <c r="Q82" s="96" t="s">
        <v>402</v>
      </c>
      <c r="R82" s="96" t="s">
        <v>402</v>
      </c>
      <c r="S82" s="96">
        <v>5</v>
      </c>
      <c r="T82" s="96"/>
      <c r="U82" s="96"/>
      <c r="V82" s="96">
        <v>3</v>
      </c>
      <c r="W82" s="96">
        <v>4</v>
      </c>
      <c r="X82" s="96"/>
      <c r="Y82" s="96"/>
      <c r="Z82" s="96"/>
      <c r="AA82" s="194"/>
      <c r="AB82" s="96">
        <f>ROUNDUP(AVERAGE(Table13[[#This Row],[% of population in sites with access to functioning complaints and feedback mechanisms]:[% of population in sites/communities reporting protection incidents in the last 3 months]]),0)</f>
        <v>4</v>
      </c>
      <c r="AC82"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4</v>
      </c>
      <c r="AE82" s="59">
        <f>Table1345[[#This Row],[FSC Severity]]</f>
        <v>3</v>
      </c>
      <c r="AF82" s="59">
        <f>Table1345[[#This Row],[Education Severity]]</f>
        <v>4</v>
      </c>
      <c r="AG82" s="59" t="str">
        <f>Table1345[[#This Row],[Nutrition Severity]]</f>
        <v>4</v>
      </c>
      <c r="AH82" s="59">
        <f>Table1345[[#This Row],[WASH_Severity]]</f>
        <v>4</v>
      </c>
      <c r="AI82" s="59">
        <f>Table1345[[#This Row],[Health Severity]]</f>
        <v>3</v>
      </c>
      <c r="AJ82" s="59">
        <f>Table1345[[#This Row],[Protection/GBV Severity]]</f>
        <v>3.5</v>
      </c>
      <c r="AK82" s="59">
        <f>Table1345[[#This Row],[CP_Severity]]</f>
        <v>3.3333333333333335</v>
      </c>
      <c r="AL82" s="59">
        <f>Table1345[[#This Row],[Shelter/NFIs Severity]]</f>
        <v>0</v>
      </c>
      <c r="AM82" s="59">
        <f>Table1345[[#This Row],[CCCM_Severity]]</f>
        <v>0</v>
      </c>
    </row>
    <row r="83" spans="1:39" x14ac:dyDescent="0.2">
      <c r="A83" s="95" t="s">
        <v>66</v>
      </c>
      <c r="B83" s="95" t="s">
        <v>96</v>
      </c>
      <c r="C83" s="96"/>
      <c r="D83" s="96"/>
      <c r="E83" s="96">
        <v>3</v>
      </c>
      <c r="F83" s="96">
        <v>2</v>
      </c>
      <c r="G83" s="96">
        <v>3</v>
      </c>
      <c r="H83" s="96">
        <v>5</v>
      </c>
      <c r="I83" s="96">
        <v>1</v>
      </c>
      <c r="J83" s="96">
        <v>4</v>
      </c>
      <c r="K83" s="96">
        <v>3</v>
      </c>
      <c r="L83" s="96">
        <v>4</v>
      </c>
      <c r="M83" s="96">
        <v>5</v>
      </c>
      <c r="N83" s="96">
        <v>5</v>
      </c>
      <c r="O83" s="96">
        <v>3</v>
      </c>
      <c r="P83" s="96">
        <v>3</v>
      </c>
      <c r="Q83" s="96" t="s">
        <v>399</v>
      </c>
      <c r="R83" s="96" t="s">
        <v>399</v>
      </c>
      <c r="S83" s="96">
        <v>5</v>
      </c>
      <c r="T83" s="96"/>
      <c r="U83" s="96"/>
      <c r="V83" s="96">
        <v>3</v>
      </c>
      <c r="W83" s="96">
        <v>3</v>
      </c>
      <c r="X83" s="96"/>
      <c r="Y83" s="96"/>
      <c r="Z83" s="96"/>
      <c r="AA83" s="194"/>
      <c r="AB83" s="96">
        <f>ROUNDUP(AVERAGE(Table13[[#This Row],[% of population in sites with access to functioning complaints and feedback mechanisms]:[% of population in sites/communities reporting protection incidents in the last 3 months]]),0)</f>
        <v>4</v>
      </c>
      <c r="AC83"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4</v>
      </c>
      <c r="AE83" s="59">
        <f>Table1345[[#This Row],[FSC Severity]]</f>
        <v>3</v>
      </c>
      <c r="AF83" s="59">
        <f>Table1345[[#This Row],[Education Severity]]</f>
        <v>5</v>
      </c>
      <c r="AG83" s="59" t="str">
        <f>Table1345[[#This Row],[Nutrition Severity]]</f>
        <v>3</v>
      </c>
      <c r="AH83" s="59">
        <f>Table1345[[#This Row],[WASH_Severity]]</f>
        <v>3</v>
      </c>
      <c r="AI83" s="59">
        <f>Table1345[[#This Row],[Health Severity]]</f>
        <v>4</v>
      </c>
      <c r="AJ83" s="59">
        <f>Table1345[[#This Row],[Protection/GBV Severity]]</f>
        <v>3.5</v>
      </c>
      <c r="AK83" s="59">
        <f>Table1345[[#This Row],[CP_Severity]]</f>
        <v>2.6666666666666665</v>
      </c>
      <c r="AL83" s="59">
        <f>Table1345[[#This Row],[Shelter/NFIs Severity]]</f>
        <v>0</v>
      </c>
      <c r="AM83" s="59">
        <f>Table1345[[#This Row],[CCCM_Severity]]</f>
        <v>0</v>
      </c>
    </row>
    <row r="84" spans="1:39" x14ac:dyDescent="0.2">
      <c r="A84" s="95" t="s">
        <v>66</v>
      </c>
      <c r="B84" s="95" t="s">
        <v>75</v>
      </c>
      <c r="C84" s="96"/>
      <c r="D84" s="96"/>
      <c r="E84" s="96"/>
      <c r="F84" s="96">
        <v>1</v>
      </c>
      <c r="G84" s="96">
        <v>1</v>
      </c>
      <c r="H84" s="96"/>
      <c r="I84" s="96"/>
      <c r="J84" s="96"/>
      <c r="K84" s="96">
        <v>3</v>
      </c>
      <c r="L84" s="96">
        <v>4</v>
      </c>
      <c r="M84" s="96">
        <v>5</v>
      </c>
      <c r="N84" s="96">
        <v>1</v>
      </c>
      <c r="O84" s="96">
        <v>2</v>
      </c>
      <c r="P84" s="96">
        <v>3</v>
      </c>
      <c r="Q84" s="96" t="s">
        <v>400</v>
      </c>
      <c r="R84" s="96" t="s">
        <v>399</v>
      </c>
      <c r="S84" s="96">
        <v>5</v>
      </c>
      <c r="T84" s="96"/>
      <c r="U84" s="96"/>
      <c r="V84" s="96">
        <v>4</v>
      </c>
      <c r="W84" s="96">
        <v>2</v>
      </c>
      <c r="X84" s="96"/>
      <c r="Y84" s="96"/>
      <c r="Z84" s="96"/>
      <c r="AA84" s="194"/>
      <c r="AB84" s="96">
        <f>ROUNDUP(AVERAGE(Table13[[#This Row],[% of population in sites with access to functioning complaints and feedback mechanisms]:[% of population in sites/communities reporting protection incidents in the last 3 months]]),0)</f>
        <v>3</v>
      </c>
      <c r="AC84"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84" s="59">
        <f>Table1345[[#This Row],[FSC Severity]]</f>
        <v>3</v>
      </c>
      <c r="AF84" s="59">
        <f>Table1345[[#This Row],[Education Severity]]</f>
        <v>0</v>
      </c>
      <c r="AG84" s="59" t="str">
        <f>Table1345[[#This Row],[Nutrition Severity]]</f>
        <v>1</v>
      </c>
      <c r="AH84" s="59">
        <f>Table1345[[#This Row],[WASH_Severity]]</f>
        <v>4</v>
      </c>
      <c r="AI84" s="59">
        <f>Table1345[[#This Row],[Health Severity]]</f>
        <v>2</v>
      </c>
      <c r="AJ84" s="59">
        <f>Table1345[[#This Row],[Protection/GBV Severity]]</f>
        <v>3.5</v>
      </c>
      <c r="AK84" s="59">
        <f>Table1345[[#This Row],[CP_Severity]]</f>
        <v>1</v>
      </c>
      <c r="AL84" s="59">
        <f>Table1345[[#This Row],[Shelter/NFIs Severity]]</f>
        <v>0</v>
      </c>
      <c r="AM84" s="59">
        <f>Table1345[[#This Row],[CCCM_Severity]]</f>
        <v>0</v>
      </c>
    </row>
    <row r="85" spans="1:39" x14ac:dyDescent="0.2">
      <c r="A85" s="95" t="s">
        <v>66</v>
      </c>
      <c r="B85" s="95" t="s">
        <v>69</v>
      </c>
      <c r="C85" s="96"/>
      <c r="D85" s="96"/>
      <c r="E85" s="96">
        <v>3</v>
      </c>
      <c r="F85" s="96">
        <v>3</v>
      </c>
      <c r="G85" s="96">
        <v>3</v>
      </c>
      <c r="H85" s="96">
        <v>4</v>
      </c>
      <c r="I85" s="96">
        <v>1</v>
      </c>
      <c r="J85" s="96">
        <v>5</v>
      </c>
      <c r="K85" s="96">
        <v>3</v>
      </c>
      <c r="L85" s="96">
        <v>4</v>
      </c>
      <c r="M85" s="96">
        <v>5</v>
      </c>
      <c r="N85" s="96">
        <v>3</v>
      </c>
      <c r="O85" s="96">
        <v>3</v>
      </c>
      <c r="P85" s="96">
        <v>1</v>
      </c>
      <c r="Q85" s="96" t="s">
        <v>402</v>
      </c>
      <c r="R85" s="96" t="s">
        <v>402</v>
      </c>
      <c r="S85" s="96">
        <v>5</v>
      </c>
      <c r="T85" s="96"/>
      <c r="U85" s="96"/>
      <c r="V85" s="96">
        <v>2</v>
      </c>
      <c r="W85" s="96">
        <v>2</v>
      </c>
      <c r="X85" s="96"/>
      <c r="Y85" s="96"/>
      <c r="Z85" s="96"/>
      <c r="AA85" s="194"/>
      <c r="AB85" s="96">
        <f>ROUNDUP(AVERAGE(Table13[[#This Row],[% of population in sites with access to functioning complaints and feedback mechanisms]:[% of population in sites/communities reporting protection incidents in the last 3 months]]),0)</f>
        <v>4</v>
      </c>
      <c r="AC85"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85" s="59">
        <f>Table1345[[#This Row],[FSC Severity]]</f>
        <v>3</v>
      </c>
      <c r="AF85" s="59">
        <f>Table1345[[#This Row],[Education Severity]]</f>
        <v>5</v>
      </c>
      <c r="AG85" s="59" t="str">
        <f>Table1345[[#This Row],[Nutrition Severity]]</f>
        <v>4</v>
      </c>
      <c r="AH85" s="59">
        <f>Table1345[[#This Row],[WASH_Severity]]</f>
        <v>2</v>
      </c>
      <c r="AI85" s="59">
        <f>Table1345[[#This Row],[Health Severity]]</f>
        <v>3</v>
      </c>
      <c r="AJ85" s="59">
        <f>Table1345[[#This Row],[Protection/GBV Severity]]</f>
        <v>3.5</v>
      </c>
      <c r="AK85" s="59">
        <f>Table1345[[#This Row],[CP_Severity]]</f>
        <v>3</v>
      </c>
      <c r="AL85" s="59">
        <f>Table1345[[#This Row],[Shelter/NFIs Severity]]</f>
        <v>0</v>
      </c>
      <c r="AM85" s="59">
        <f>Table1345[[#This Row],[CCCM_Severity]]</f>
        <v>0</v>
      </c>
    </row>
    <row r="86" spans="1:39" x14ac:dyDescent="0.2">
      <c r="A86" s="95" t="s">
        <v>66</v>
      </c>
      <c r="B86" s="95" t="s">
        <v>71</v>
      </c>
      <c r="C86" s="96"/>
      <c r="D86" s="96"/>
      <c r="E86" s="96"/>
      <c r="F86" s="96">
        <v>1</v>
      </c>
      <c r="G86" s="96">
        <v>1</v>
      </c>
      <c r="H86" s="96"/>
      <c r="I86" s="96"/>
      <c r="J86" s="96"/>
      <c r="K86" s="96">
        <v>3</v>
      </c>
      <c r="L86" s="96">
        <v>4</v>
      </c>
      <c r="M86" s="96">
        <v>4</v>
      </c>
      <c r="N86" s="96">
        <v>4</v>
      </c>
      <c r="O86" s="96">
        <v>3</v>
      </c>
      <c r="P86" s="96">
        <v>1</v>
      </c>
      <c r="Q86" s="96" t="s">
        <v>399</v>
      </c>
      <c r="R86" s="96" t="s">
        <v>399</v>
      </c>
      <c r="S86" s="96">
        <v>5</v>
      </c>
      <c r="T86" s="96"/>
      <c r="U86" s="96"/>
      <c r="V86" s="96">
        <v>3</v>
      </c>
      <c r="W86" s="96">
        <v>1</v>
      </c>
      <c r="X86" s="96"/>
      <c r="Y86" s="96"/>
      <c r="Z86" s="96"/>
      <c r="AA86" s="194"/>
      <c r="AB86" s="96">
        <f>ROUNDUP(AVERAGE(Table13[[#This Row],[% of population in sites with access to functioning complaints and feedback mechanisms]:[% of population in sites/communities reporting protection incidents in the last 3 months]]),0)</f>
        <v>3</v>
      </c>
      <c r="AC86"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4</v>
      </c>
      <c r="AE86" s="59">
        <f>Table1345[[#This Row],[FSC Severity]]</f>
        <v>3</v>
      </c>
      <c r="AF86" s="59">
        <f>Table1345[[#This Row],[Education Severity]]</f>
        <v>0</v>
      </c>
      <c r="AG86" s="59" t="str">
        <f>Table1345[[#This Row],[Nutrition Severity]]</f>
        <v>3</v>
      </c>
      <c r="AH86" s="59">
        <f>Table1345[[#This Row],[WASH_Severity]]</f>
        <v>3</v>
      </c>
      <c r="AI86" s="59">
        <f>Table1345[[#This Row],[Health Severity]]</f>
        <v>3</v>
      </c>
      <c r="AJ86" s="59">
        <f>Table1345[[#This Row],[Protection/GBV Severity]]</f>
        <v>3.5</v>
      </c>
      <c r="AK86" s="59">
        <f>Table1345[[#This Row],[CP_Severity]]</f>
        <v>1</v>
      </c>
      <c r="AL86" s="59">
        <f>Table1345[[#This Row],[Shelter/NFIs Severity]]</f>
        <v>0</v>
      </c>
      <c r="AM86" s="59">
        <f>Table1345[[#This Row],[CCCM_Severity]]</f>
        <v>0</v>
      </c>
    </row>
    <row r="87" spans="1:39" x14ac:dyDescent="0.2">
      <c r="A87" s="95" t="s">
        <v>66</v>
      </c>
      <c r="B87" s="95" t="s">
        <v>95</v>
      </c>
      <c r="C87" s="96"/>
      <c r="D87" s="96"/>
      <c r="E87" s="96">
        <v>3</v>
      </c>
      <c r="F87" s="96">
        <v>2</v>
      </c>
      <c r="G87" s="96">
        <v>2</v>
      </c>
      <c r="H87" s="96">
        <v>4</v>
      </c>
      <c r="I87" s="96">
        <v>1</v>
      </c>
      <c r="J87" s="96">
        <v>3</v>
      </c>
      <c r="K87" s="96">
        <v>3</v>
      </c>
      <c r="L87" s="96">
        <v>4</v>
      </c>
      <c r="M87" s="96">
        <v>5</v>
      </c>
      <c r="N87" s="96">
        <v>3</v>
      </c>
      <c r="O87" s="96">
        <v>2</v>
      </c>
      <c r="P87" s="96">
        <v>4</v>
      </c>
      <c r="Q87" s="96" t="s">
        <v>399</v>
      </c>
      <c r="R87" s="96" t="s">
        <v>399</v>
      </c>
      <c r="S87" s="96">
        <v>5</v>
      </c>
      <c r="T87" s="96"/>
      <c r="U87" s="96"/>
      <c r="V87" s="96">
        <v>1</v>
      </c>
      <c r="W87" s="96">
        <v>2</v>
      </c>
      <c r="X87" s="96"/>
      <c r="Y87" s="96"/>
      <c r="Z87" s="96"/>
      <c r="AA87" s="194"/>
      <c r="AB87" s="96">
        <f>ROUNDUP(AVERAGE(Table13[[#This Row],[% of population in sites with access to functioning complaints and feedback mechanisms]:[% of population in sites/communities reporting protection incidents in the last 3 months]]),0)</f>
        <v>3</v>
      </c>
      <c r="AC87"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87" s="59">
        <f>Table1345[[#This Row],[FSC Severity]]</f>
        <v>3</v>
      </c>
      <c r="AF87" s="59">
        <f>Table1345[[#This Row],[Education Severity]]</f>
        <v>4</v>
      </c>
      <c r="AG87" s="59" t="str">
        <f>Table1345[[#This Row],[Nutrition Severity]]</f>
        <v>3</v>
      </c>
      <c r="AH87" s="59">
        <f>Table1345[[#This Row],[WASH_Severity]]</f>
        <v>2</v>
      </c>
      <c r="AI87" s="59">
        <f>Table1345[[#This Row],[Health Severity]]</f>
        <v>3</v>
      </c>
      <c r="AJ87" s="59">
        <f>Table1345[[#This Row],[Protection/GBV Severity]]</f>
        <v>3.5</v>
      </c>
      <c r="AK87" s="59">
        <f>Table1345[[#This Row],[CP_Severity]]</f>
        <v>3</v>
      </c>
      <c r="AL87" s="59">
        <f>Table1345[[#This Row],[Shelter/NFIs Severity]]</f>
        <v>0</v>
      </c>
      <c r="AM87" s="59">
        <f>Table1345[[#This Row],[CCCM_Severity]]</f>
        <v>0</v>
      </c>
    </row>
    <row r="88" spans="1:39" x14ac:dyDescent="0.2">
      <c r="A88" s="95" t="s">
        <v>66</v>
      </c>
      <c r="B88" s="95" t="s">
        <v>72</v>
      </c>
      <c r="C88" s="96"/>
      <c r="D88" s="96"/>
      <c r="E88" s="96"/>
      <c r="F88" s="96">
        <v>1</v>
      </c>
      <c r="G88" s="96">
        <v>1</v>
      </c>
      <c r="H88" s="96"/>
      <c r="I88" s="96"/>
      <c r="J88" s="96"/>
      <c r="K88" s="96">
        <v>3</v>
      </c>
      <c r="L88" s="96">
        <v>4</v>
      </c>
      <c r="M88" s="96">
        <v>5</v>
      </c>
      <c r="N88" s="96">
        <v>3</v>
      </c>
      <c r="O88" s="96">
        <v>2</v>
      </c>
      <c r="P88" s="96">
        <v>4</v>
      </c>
      <c r="Q88" s="96" t="s">
        <v>401</v>
      </c>
      <c r="R88" s="96" t="s">
        <v>399</v>
      </c>
      <c r="S88" s="96">
        <v>5</v>
      </c>
      <c r="T88" s="96"/>
      <c r="U88" s="96"/>
      <c r="V88" s="96">
        <v>2</v>
      </c>
      <c r="W88" s="96">
        <v>1</v>
      </c>
      <c r="X88" s="96"/>
      <c r="Y88" s="96"/>
      <c r="Z88" s="96"/>
      <c r="AA88" s="194"/>
      <c r="AB88" s="96">
        <f>ROUNDUP(AVERAGE(Table13[[#This Row],[% of population in sites with access to functioning complaints and feedback mechanisms]:[% of population in sites/communities reporting protection incidents in the last 3 months]]),0)</f>
        <v>3</v>
      </c>
      <c r="AC88"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88" s="59">
        <f>Table1345[[#This Row],[FSC Severity]]</f>
        <v>3</v>
      </c>
      <c r="AF88" s="59">
        <f>Table1345[[#This Row],[Education Severity]]</f>
        <v>0</v>
      </c>
      <c r="AG88" s="59" t="str">
        <f>Table1345[[#This Row],[Nutrition Severity]]</f>
        <v>2</v>
      </c>
      <c r="AH88" s="59">
        <f>Table1345[[#This Row],[WASH_Severity]]</f>
        <v>2</v>
      </c>
      <c r="AI88" s="59">
        <f>Table1345[[#This Row],[Health Severity]]</f>
        <v>3</v>
      </c>
      <c r="AJ88" s="59">
        <f>Table1345[[#This Row],[Protection/GBV Severity]]</f>
        <v>3.5</v>
      </c>
      <c r="AK88" s="59">
        <f>Table1345[[#This Row],[CP_Severity]]</f>
        <v>1</v>
      </c>
      <c r="AL88" s="59">
        <f>Table1345[[#This Row],[Shelter/NFIs Severity]]</f>
        <v>0</v>
      </c>
      <c r="AM88" s="59">
        <f>Table1345[[#This Row],[CCCM_Severity]]</f>
        <v>0</v>
      </c>
    </row>
    <row r="89" spans="1:39" x14ac:dyDescent="0.2">
      <c r="A89" s="95" t="s">
        <v>66</v>
      </c>
      <c r="B89" s="95" t="s">
        <v>70</v>
      </c>
      <c r="C89" s="96"/>
      <c r="D89" s="96"/>
      <c r="E89" s="96">
        <v>4</v>
      </c>
      <c r="F89" s="96">
        <v>2</v>
      </c>
      <c r="G89" s="96">
        <v>3</v>
      </c>
      <c r="H89" s="96">
        <v>3</v>
      </c>
      <c r="I89" s="96">
        <v>1</v>
      </c>
      <c r="J89" s="96">
        <v>4</v>
      </c>
      <c r="K89" s="96">
        <v>3</v>
      </c>
      <c r="L89" s="96">
        <v>4</v>
      </c>
      <c r="M89" s="96">
        <v>5</v>
      </c>
      <c r="N89" s="96">
        <v>2</v>
      </c>
      <c r="O89" s="96">
        <v>3</v>
      </c>
      <c r="P89" s="96">
        <v>1</v>
      </c>
      <c r="Q89" s="96" t="s">
        <v>402</v>
      </c>
      <c r="R89" s="96" t="s">
        <v>402</v>
      </c>
      <c r="S89" s="96">
        <v>5</v>
      </c>
      <c r="T89" s="96"/>
      <c r="U89" s="96"/>
      <c r="V89" s="96">
        <v>2</v>
      </c>
      <c r="W89" s="96">
        <v>3</v>
      </c>
      <c r="X89" s="96"/>
      <c r="Y89" s="96"/>
      <c r="Z89" s="96"/>
      <c r="AA89" s="194"/>
      <c r="AB89" s="96">
        <f>ROUNDUP(AVERAGE(Table13[[#This Row],[% of population in sites with access to functioning complaints and feedback mechanisms]:[% of population in sites/communities reporting protection incidents in the last 3 months]]),0)</f>
        <v>3</v>
      </c>
      <c r="AC89"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89" s="59">
        <f>Table1345[[#This Row],[FSC Severity]]</f>
        <v>3</v>
      </c>
      <c r="AF89" s="59">
        <f>Table1345[[#This Row],[Education Severity]]</f>
        <v>4</v>
      </c>
      <c r="AG89" s="59" t="str">
        <f>Table1345[[#This Row],[Nutrition Severity]]</f>
        <v>4</v>
      </c>
      <c r="AH89" s="59">
        <f>Table1345[[#This Row],[WASH_Severity]]</f>
        <v>3</v>
      </c>
      <c r="AI89" s="59">
        <f>Table1345[[#This Row],[Health Severity]]</f>
        <v>2</v>
      </c>
      <c r="AJ89" s="59">
        <f>Table1345[[#This Row],[Protection/GBV Severity]]</f>
        <v>3.5</v>
      </c>
      <c r="AK89" s="59">
        <f>Table1345[[#This Row],[CP_Severity]]</f>
        <v>3</v>
      </c>
      <c r="AL89" s="59">
        <f>Table1345[[#This Row],[Shelter/NFIs Severity]]</f>
        <v>0</v>
      </c>
      <c r="AM89" s="59">
        <f>Table1345[[#This Row],[CCCM_Severity]]</f>
        <v>0</v>
      </c>
    </row>
    <row r="90" spans="1:39" x14ac:dyDescent="0.2">
      <c r="A90" s="95" t="s">
        <v>66</v>
      </c>
      <c r="B90" s="95" t="s">
        <v>73</v>
      </c>
      <c r="C90" s="96"/>
      <c r="D90" s="96"/>
      <c r="E90" s="96"/>
      <c r="F90" s="96">
        <v>1</v>
      </c>
      <c r="G90" s="96">
        <v>1</v>
      </c>
      <c r="H90" s="96"/>
      <c r="I90" s="96"/>
      <c r="J90" s="96"/>
      <c r="K90" s="96">
        <v>3</v>
      </c>
      <c r="L90" s="96">
        <v>4</v>
      </c>
      <c r="M90" s="96">
        <v>5</v>
      </c>
      <c r="N90" s="96">
        <v>1</v>
      </c>
      <c r="O90" s="96">
        <v>3</v>
      </c>
      <c r="P90" s="96">
        <v>4</v>
      </c>
      <c r="Q90" s="96" t="s">
        <v>399</v>
      </c>
      <c r="R90" s="96" t="s">
        <v>399</v>
      </c>
      <c r="S90" s="96">
        <v>5</v>
      </c>
      <c r="T90" s="96"/>
      <c r="U90" s="96"/>
      <c r="V90" s="96">
        <v>1</v>
      </c>
      <c r="W90" s="96">
        <v>1</v>
      </c>
      <c r="X90" s="96"/>
      <c r="Y90" s="96"/>
      <c r="Z90" s="96"/>
      <c r="AA90" s="194"/>
      <c r="AB90" s="96">
        <f>ROUNDUP(AVERAGE(Table13[[#This Row],[% of population in sites with access to functioning complaints and feedback mechanisms]:[% of population in sites/communities reporting protection incidents in the last 3 months]]),0)</f>
        <v>3</v>
      </c>
      <c r="AC90"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90" s="59">
        <f>Table1345[[#This Row],[FSC Severity]]</f>
        <v>3</v>
      </c>
      <c r="AF90" s="59">
        <f>Table1345[[#This Row],[Education Severity]]</f>
        <v>0</v>
      </c>
      <c r="AG90" s="59" t="str">
        <f>Table1345[[#This Row],[Nutrition Severity]]</f>
        <v>3</v>
      </c>
      <c r="AH90" s="59">
        <f>Table1345[[#This Row],[WASH_Severity]]</f>
        <v>1</v>
      </c>
      <c r="AI90" s="59">
        <f>Table1345[[#This Row],[Health Severity]]</f>
        <v>3</v>
      </c>
      <c r="AJ90" s="59">
        <f>Table1345[[#This Row],[Protection/GBV Severity]]</f>
        <v>3.5</v>
      </c>
      <c r="AK90" s="59">
        <f>Table1345[[#This Row],[CP_Severity]]</f>
        <v>1</v>
      </c>
      <c r="AL90" s="59">
        <f>Table1345[[#This Row],[Shelter/NFIs Severity]]</f>
        <v>0</v>
      </c>
      <c r="AM90" s="59">
        <f>Table1345[[#This Row],[CCCM_Severity]]</f>
        <v>0</v>
      </c>
    </row>
    <row r="91" spans="1:39" x14ac:dyDescent="0.2">
      <c r="A91" s="95" t="s">
        <v>66</v>
      </c>
      <c r="B91" s="95" t="s">
        <v>94</v>
      </c>
      <c r="C91" s="96"/>
      <c r="D91" s="96"/>
      <c r="E91" s="96">
        <v>2</v>
      </c>
      <c r="F91" s="96">
        <v>2</v>
      </c>
      <c r="G91" s="96">
        <v>2</v>
      </c>
      <c r="H91" s="96">
        <v>3</v>
      </c>
      <c r="I91" s="96">
        <v>1</v>
      </c>
      <c r="J91" s="96">
        <v>1</v>
      </c>
      <c r="K91" s="96">
        <v>3</v>
      </c>
      <c r="L91" s="96">
        <v>4</v>
      </c>
      <c r="M91" s="96">
        <v>5</v>
      </c>
      <c r="N91" s="96">
        <v>4</v>
      </c>
      <c r="O91" s="96">
        <v>0</v>
      </c>
      <c r="P91" s="96">
        <v>2</v>
      </c>
      <c r="Q91" s="96" t="s">
        <v>399</v>
      </c>
      <c r="R91" s="96" t="s">
        <v>399</v>
      </c>
      <c r="S91" s="96">
        <v>4</v>
      </c>
      <c r="T91" s="96"/>
      <c r="U91" s="96"/>
      <c r="V91" s="96">
        <v>1</v>
      </c>
      <c r="W91" s="96">
        <v>3</v>
      </c>
      <c r="X91" s="96"/>
      <c r="Y91" s="96"/>
      <c r="Z91" s="96"/>
      <c r="AA91" s="194"/>
      <c r="AB91" s="96">
        <f>ROUNDUP(AVERAGE(Table13[[#This Row],[% of population in sites with access to functioning complaints and feedback mechanisms]:[% of population in sites/communities reporting protection incidents in the last 3 months]]),0)</f>
        <v>3</v>
      </c>
      <c r="AC91"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91" s="59">
        <f>Table1345[[#This Row],[FSC Severity]]</f>
        <v>3</v>
      </c>
      <c r="AF91" s="59">
        <f>Table1345[[#This Row],[Education Severity]]</f>
        <v>3</v>
      </c>
      <c r="AG91" s="59" t="str">
        <f>Table1345[[#This Row],[Nutrition Severity]]</f>
        <v>3</v>
      </c>
      <c r="AH91" s="59">
        <f>Table1345[[#This Row],[WASH_Severity]]</f>
        <v>3</v>
      </c>
      <c r="AI91" s="59">
        <f>Table1345[[#This Row],[Health Severity]]</f>
        <v>2</v>
      </c>
      <c r="AJ91" s="59">
        <f>Table1345[[#This Row],[Protection/GBV Severity]]</f>
        <v>3.5</v>
      </c>
      <c r="AK91" s="59">
        <f>Table1345[[#This Row],[CP_Severity]]</f>
        <v>2</v>
      </c>
      <c r="AL91" s="59">
        <f>Table1345[[#This Row],[Shelter/NFIs Severity]]</f>
        <v>0</v>
      </c>
      <c r="AM91" s="59">
        <f>Table1345[[#This Row],[CCCM_Severity]]</f>
        <v>0</v>
      </c>
    </row>
    <row r="92" spans="1:39" x14ac:dyDescent="0.2">
      <c r="A92" s="95" t="s">
        <v>66</v>
      </c>
      <c r="B92" s="95" t="s">
        <v>74</v>
      </c>
      <c r="C92" s="96"/>
      <c r="D92" s="96"/>
      <c r="E92" s="96"/>
      <c r="F92" s="96">
        <v>1</v>
      </c>
      <c r="G92" s="96">
        <v>1</v>
      </c>
      <c r="H92" s="96"/>
      <c r="I92" s="96"/>
      <c r="J92" s="96"/>
      <c r="K92" s="96">
        <v>3</v>
      </c>
      <c r="L92" s="96">
        <v>4</v>
      </c>
      <c r="M92" s="96">
        <v>5</v>
      </c>
      <c r="N92" s="96">
        <v>3</v>
      </c>
      <c r="O92" s="96">
        <v>0</v>
      </c>
      <c r="P92" s="96">
        <v>2</v>
      </c>
      <c r="Q92" s="96" t="s">
        <v>399</v>
      </c>
      <c r="R92" s="96" t="s">
        <v>399</v>
      </c>
      <c r="S92" s="96">
        <v>5</v>
      </c>
      <c r="T92" s="96"/>
      <c r="U92" s="96"/>
      <c r="V92" s="96">
        <v>2</v>
      </c>
      <c r="W92" s="96">
        <v>1</v>
      </c>
      <c r="X92" s="96"/>
      <c r="Y92" s="96"/>
      <c r="Z92" s="96"/>
      <c r="AA92" s="194"/>
      <c r="AB92" s="96">
        <f>ROUNDUP(AVERAGE(Table13[[#This Row],[% of population in sites with access to functioning complaints and feedback mechanisms]:[% of population in sites/communities reporting protection incidents in the last 3 months]]),0)</f>
        <v>3</v>
      </c>
      <c r="AC92"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92" s="59">
        <f>Table1345[[#This Row],[FSC Severity]]</f>
        <v>3</v>
      </c>
      <c r="AF92" s="59">
        <f>Table1345[[#This Row],[Education Severity]]</f>
        <v>0</v>
      </c>
      <c r="AG92" s="59" t="str">
        <f>Table1345[[#This Row],[Nutrition Severity]]</f>
        <v>3</v>
      </c>
      <c r="AH92" s="59">
        <f>Table1345[[#This Row],[WASH_Severity]]</f>
        <v>2</v>
      </c>
      <c r="AI92" s="59">
        <f>Table1345[[#This Row],[Health Severity]]</f>
        <v>2</v>
      </c>
      <c r="AJ92" s="59">
        <f>Table1345[[#This Row],[Protection/GBV Severity]]</f>
        <v>3.5</v>
      </c>
      <c r="AK92" s="59">
        <f>Table1345[[#This Row],[CP_Severity]]</f>
        <v>1</v>
      </c>
      <c r="AL92" s="59">
        <f>Table1345[[#This Row],[Shelter/NFIs Severity]]</f>
        <v>0</v>
      </c>
      <c r="AM92" s="59">
        <f>Table1345[[#This Row],[CCCM_Severity]]</f>
        <v>0</v>
      </c>
    </row>
    <row r="93" spans="1:39" x14ac:dyDescent="0.2">
      <c r="A93" s="95" t="s">
        <v>66</v>
      </c>
      <c r="B93" s="95" t="s">
        <v>93</v>
      </c>
      <c r="C93" s="96"/>
      <c r="D93" s="96"/>
      <c r="E93" s="96">
        <v>2</v>
      </c>
      <c r="F93" s="96">
        <v>2</v>
      </c>
      <c r="G93" s="96">
        <v>2</v>
      </c>
      <c r="H93" s="96">
        <v>3</v>
      </c>
      <c r="I93" s="96">
        <v>1</v>
      </c>
      <c r="J93" s="96">
        <v>2</v>
      </c>
      <c r="K93" s="96">
        <v>3</v>
      </c>
      <c r="L93" s="96">
        <v>4</v>
      </c>
      <c r="M93" s="96">
        <v>5</v>
      </c>
      <c r="N93" s="96">
        <v>3</v>
      </c>
      <c r="O93" s="96">
        <v>2</v>
      </c>
      <c r="P93" s="96">
        <v>2</v>
      </c>
      <c r="Q93" s="96" t="s">
        <v>402</v>
      </c>
      <c r="R93" s="96" t="s">
        <v>402</v>
      </c>
      <c r="S93" s="96">
        <v>5</v>
      </c>
      <c r="T93" s="96"/>
      <c r="U93" s="96"/>
      <c r="V93" s="96">
        <v>2</v>
      </c>
      <c r="W93" s="96">
        <v>2</v>
      </c>
      <c r="X93" s="96"/>
      <c r="Y93" s="96"/>
      <c r="Z93" s="96"/>
      <c r="AA93" s="194"/>
      <c r="AB93" s="96">
        <f>ROUNDUP(AVERAGE(Table13[[#This Row],[% of population in sites with access to functioning complaints and feedback mechanisms]:[% of population in sites/communities reporting protection incidents in the last 3 months]]),0)</f>
        <v>3</v>
      </c>
      <c r="AC93"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93" s="59">
        <f>Table1345[[#This Row],[FSC Severity]]</f>
        <v>3</v>
      </c>
      <c r="AF93" s="59">
        <f>Table1345[[#This Row],[Education Severity]]</f>
        <v>3</v>
      </c>
      <c r="AG93" s="59" t="str">
        <f>Table1345[[#This Row],[Nutrition Severity]]</f>
        <v>4</v>
      </c>
      <c r="AH93" s="59">
        <f>Table1345[[#This Row],[WASH_Severity]]</f>
        <v>2</v>
      </c>
      <c r="AI93" s="59">
        <f>Table1345[[#This Row],[Health Severity]]</f>
        <v>3</v>
      </c>
      <c r="AJ93" s="59">
        <f>Table1345[[#This Row],[Protection/GBV Severity]]</f>
        <v>3.5</v>
      </c>
      <c r="AK93" s="59">
        <f>Table1345[[#This Row],[CP_Severity]]</f>
        <v>2</v>
      </c>
      <c r="AL93" s="59">
        <f>Table1345[[#This Row],[Shelter/NFIs Severity]]</f>
        <v>0</v>
      </c>
      <c r="AM93" s="59">
        <f>Table1345[[#This Row],[CCCM_Severity]]</f>
        <v>0</v>
      </c>
    </row>
    <row r="94" spans="1:39" x14ac:dyDescent="0.2">
      <c r="A94" s="95" t="s">
        <v>66</v>
      </c>
      <c r="B94" s="95" t="s">
        <v>92</v>
      </c>
      <c r="C94" s="96"/>
      <c r="D94" s="96"/>
      <c r="E94" s="96"/>
      <c r="F94" s="96"/>
      <c r="G94" s="96"/>
      <c r="H94" s="96"/>
      <c r="I94" s="96"/>
      <c r="J94" s="96"/>
      <c r="K94" s="96"/>
      <c r="L94" s="96">
        <v>4</v>
      </c>
      <c r="M94" s="96">
        <v>5</v>
      </c>
      <c r="N94" s="96">
        <v>3</v>
      </c>
      <c r="O94" s="96">
        <v>2</v>
      </c>
      <c r="P94" s="96">
        <v>2</v>
      </c>
      <c r="Q94" s="96" t="s">
        <v>402</v>
      </c>
      <c r="R94" s="96" t="s">
        <v>400</v>
      </c>
      <c r="S94" s="96">
        <v>5</v>
      </c>
      <c r="T94" s="96"/>
      <c r="U94" s="96"/>
      <c r="V94" s="96">
        <v>2</v>
      </c>
      <c r="W94" s="96">
        <v>2</v>
      </c>
      <c r="X94" s="96"/>
      <c r="Y94" s="96"/>
      <c r="Z94" s="96"/>
      <c r="AA94" s="194"/>
      <c r="AB94" s="96">
        <f>ROUNDUP(AVERAGE(Table13[[#This Row],[% of population in sites with access to functioning complaints and feedback mechanisms]:[% of population in sites/communities reporting protection incidents in the last 3 months]]),0)</f>
        <v>4</v>
      </c>
      <c r="AC94" s="97">
        <f>ROUNDUP(AVERAGE(Table13[[#This Row],[IPC]],Table13[[#This Row],[Number of skilled birth attendant personnel (doctors, nurses, certified midwives) per 10,000 people]],Table13[[#This Row],[Number of cases or incidence rates for selected diseases relevant to the local context (diarrhoea)]],Table13[[#This Row],[Number of survivors of GBV provided with a comprehensive response ]],Table13[[#This Row],[% of girls / boys / women at risk of GBV (sexual violence and forced marriage / reproduction)]],Table13[[#This Row],[SAM]],Table13[[#This Row],[% of HHs not having access to water sources of sufficient quality and availability]]),0)</f>
        <v>3</v>
      </c>
      <c r="AE94" s="59">
        <f>Table1345[[#This Row],[FSC Severity]]</f>
        <v>3</v>
      </c>
      <c r="AF94" s="59">
        <f>Table1345[[#This Row],[Education Severity]]</f>
        <v>0</v>
      </c>
      <c r="AG94" s="59" t="str">
        <f>Table1345[[#This Row],[Nutrition Severity]]</f>
        <v>4</v>
      </c>
      <c r="AH94" s="59">
        <f>Table1345[[#This Row],[WASH_Severity]]</f>
        <v>2</v>
      </c>
      <c r="AI94" s="59">
        <f>Table1345[[#This Row],[Health Severity]]</f>
        <v>3</v>
      </c>
      <c r="AJ94" s="59">
        <f>Table1345[[#This Row],[Protection/GBV Severity]]</f>
        <v>3.5</v>
      </c>
      <c r="AK94" s="59">
        <f>Table1345[[#This Row],[CP_Severity]]</f>
        <v>0</v>
      </c>
      <c r="AL94" s="59">
        <f>Table1345[[#This Row],[Shelter/NFIs Severity]]</f>
        <v>0</v>
      </c>
      <c r="AM94" s="59">
        <f>Table1345[[#This Row],[CCCM_Severity]]</f>
        <v>0</v>
      </c>
    </row>
    <row r="95" spans="1:39" x14ac:dyDescent="0.2">
      <c r="C95" s="2"/>
      <c r="D95" s="2"/>
      <c r="E95" s="2"/>
      <c r="F95" s="2"/>
      <c r="G95" s="2"/>
      <c r="H95" s="2"/>
      <c r="I95" s="2"/>
      <c r="J95" s="2"/>
      <c r="K95" s="2"/>
      <c r="L95" s="2"/>
      <c r="M95" s="2"/>
      <c r="N95" s="2"/>
      <c r="O95" s="2"/>
      <c r="P95" s="2"/>
      <c r="Q95" s="2"/>
      <c r="R95" s="2"/>
      <c r="S95" s="49"/>
      <c r="T95" s="46"/>
      <c r="U95" s="46"/>
      <c r="V95" s="46"/>
      <c r="W95" s="46"/>
      <c r="X95" s="46"/>
      <c r="Y95" s="46"/>
      <c r="Z95" s="46"/>
      <c r="AA95" s="195"/>
      <c r="AB95" s="46"/>
      <c r="AC95" s="46"/>
    </row>
    <row r="96" spans="1:39" x14ac:dyDescent="0.2">
      <c r="C96" s="2"/>
      <c r="D96" s="2"/>
      <c r="E96" s="2"/>
      <c r="F96" s="2"/>
      <c r="G96" s="2"/>
      <c r="H96" s="2"/>
      <c r="I96" s="2"/>
      <c r="J96" s="2"/>
      <c r="K96" s="2"/>
      <c r="L96" s="2"/>
      <c r="M96" s="2"/>
      <c r="N96" s="2"/>
      <c r="O96" s="2"/>
      <c r="P96" s="2"/>
      <c r="Q96" s="2"/>
      <c r="R96" s="2"/>
      <c r="S96" s="49"/>
      <c r="T96" s="46"/>
      <c r="U96" s="46"/>
      <c r="V96" s="46"/>
      <c r="W96" s="46"/>
      <c r="X96" s="46"/>
      <c r="Y96" s="46"/>
      <c r="Z96" s="46"/>
      <c r="AA96" s="195"/>
      <c r="AB96" s="46"/>
      <c r="AC96" s="46"/>
    </row>
    <row r="97" spans="3:29" x14ac:dyDescent="0.2">
      <c r="C97" s="199"/>
      <c r="D97" s="199"/>
      <c r="E97" s="2"/>
      <c r="F97" s="2"/>
      <c r="G97" s="2"/>
      <c r="H97" s="2"/>
      <c r="I97" s="2"/>
      <c r="J97" s="2"/>
      <c r="K97" s="2"/>
      <c r="L97" s="45"/>
      <c r="M97" s="45"/>
      <c r="N97" s="49"/>
      <c r="O97" s="49"/>
      <c r="P97" s="49"/>
      <c r="Q97" s="49"/>
      <c r="R97" s="49"/>
      <c r="S97" s="49"/>
      <c r="T97" s="46"/>
      <c r="U97" s="46"/>
      <c r="V97" s="46"/>
      <c r="W97" s="46"/>
      <c r="X97" s="46"/>
      <c r="Y97" s="46"/>
      <c r="Z97" s="46"/>
      <c r="AA97" s="195"/>
      <c r="AB97" s="46"/>
      <c r="AC97" s="46"/>
    </row>
    <row r="98" spans="3:29" x14ac:dyDescent="0.2">
      <c r="E98" s="2"/>
      <c r="F98" s="2"/>
      <c r="G98" s="2"/>
      <c r="H98" s="2"/>
      <c r="I98" s="2"/>
      <c r="J98" s="2"/>
      <c r="K98" s="2"/>
    </row>
  </sheetData>
  <mergeCells count="9">
    <mergeCell ref="Q1:S1"/>
    <mergeCell ref="T1:U1"/>
    <mergeCell ref="V1:W1"/>
    <mergeCell ref="X1:Z1"/>
    <mergeCell ref="C1:D1"/>
    <mergeCell ref="E1:G1"/>
    <mergeCell ref="H1:J1"/>
    <mergeCell ref="L1:M1"/>
    <mergeCell ref="N1:P1"/>
  </mergeCells>
  <phoneticPr fontId="11" type="noConversion"/>
  <pageMargins left="0.7" right="0.7" top="0.75" bottom="0.75" header="0.3" footer="0.3"/>
  <pageSetup orientation="portrait" r:id="rId1"/>
  <ignoredErrors>
    <ignoredError sqref="R3:R94 Q3:Q94" numberStoredAsText="1"/>
  </ignoredErrors>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8B115-9D84-48F2-B4B2-C611E5B315AF}">
  <sheetPr>
    <tabColor rgb="FF00B0F0"/>
  </sheetPr>
  <dimension ref="A1:G14"/>
  <sheetViews>
    <sheetView showGridLines="0" workbookViewId="0">
      <pane ySplit="1" topLeftCell="A2" activePane="bottomLeft" state="frozen"/>
      <selection pane="bottomLeft" activeCell="F16" sqref="F16"/>
    </sheetView>
  </sheetViews>
  <sheetFormatPr defaultRowHeight="15" x14ac:dyDescent="0.25"/>
  <cols>
    <col min="1" max="1" width="30.140625" bestFit="1" customWidth="1"/>
    <col min="2" max="2" width="22.5703125" customWidth="1"/>
    <col min="4" max="6" width="11.140625" bestFit="1" customWidth="1"/>
  </cols>
  <sheetData>
    <row r="1" spans="1:7" ht="15.75" thickBot="1" x14ac:dyDescent="0.3">
      <c r="A1" s="238" t="s">
        <v>558</v>
      </c>
      <c r="B1" s="239" t="s">
        <v>561</v>
      </c>
    </row>
    <row r="2" spans="1:7" ht="15.75" thickTop="1" x14ac:dyDescent="0.25">
      <c r="A2" s="237" t="s">
        <v>559</v>
      </c>
      <c r="B2" s="243">
        <v>353316655</v>
      </c>
    </row>
    <row r="3" spans="1:7" x14ac:dyDescent="0.25">
      <c r="A3" s="237" t="s">
        <v>270</v>
      </c>
      <c r="B3" s="243">
        <v>48124167</v>
      </c>
    </row>
    <row r="4" spans="1:7" x14ac:dyDescent="0.25">
      <c r="A4" s="240" t="s">
        <v>239</v>
      </c>
      <c r="B4" s="244">
        <v>37652747</v>
      </c>
    </row>
    <row r="5" spans="1:7" x14ac:dyDescent="0.25">
      <c r="A5" s="241" t="s">
        <v>254</v>
      </c>
      <c r="B5" s="244">
        <v>20432459</v>
      </c>
    </row>
    <row r="6" spans="1:7" x14ac:dyDescent="0.25">
      <c r="A6" s="241" t="s">
        <v>286</v>
      </c>
      <c r="B6" s="244">
        <v>12056942</v>
      </c>
    </row>
    <row r="7" spans="1:7" x14ac:dyDescent="0.25">
      <c r="A7" s="237" t="s">
        <v>218</v>
      </c>
      <c r="B7" s="243">
        <v>11311948</v>
      </c>
    </row>
    <row r="8" spans="1:7" x14ac:dyDescent="0.25">
      <c r="A8" s="242" t="s">
        <v>468</v>
      </c>
      <c r="B8" s="243">
        <v>9300000</v>
      </c>
    </row>
    <row r="9" spans="1:7" x14ac:dyDescent="0.25">
      <c r="A9" s="241" t="s">
        <v>313</v>
      </c>
      <c r="B9" s="244">
        <v>5300000</v>
      </c>
    </row>
    <row r="10" spans="1:7" x14ac:dyDescent="0.25">
      <c r="A10" s="240" t="s">
        <v>287</v>
      </c>
      <c r="B10" s="244">
        <v>4807830.7624824429</v>
      </c>
    </row>
    <row r="11" spans="1:7" x14ac:dyDescent="0.25">
      <c r="A11" s="242" t="s">
        <v>201</v>
      </c>
      <c r="B11" s="243">
        <v>1474000</v>
      </c>
    </row>
    <row r="12" spans="1:7" x14ac:dyDescent="0.25">
      <c r="A12" s="259" t="s">
        <v>562</v>
      </c>
      <c r="B12" s="260">
        <v>1000000</v>
      </c>
      <c r="D12" s="247" t="s">
        <v>573</v>
      </c>
      <c r="E12" s="247" t="s">
        <v>572</v>
      </c>
      <c r="F12" s="261" t="s">
        <v>560</v>
      </c>
    </row>
    <row r="13" spans="1:7" x14ac:dyDescent="0.25">
      <c r="A13" s="242" t="s">
        <v>560</v>
      </c>
      <c r="B13" s="245">
        <v>694636</v>
      </c>
      <c r="D13" s="230">
        <v>350000</v>
      </c>
      <c r="E13" s="230">
        <v>344636</v>
      </c>
      <c r="F13" s="230">
        <f>SUM(D13:E13)</f>
        <v>694636</v>
      </c>
      <c r="G13" s="230"/>
    </row>
    <row r="14" spans="1:7" ht="17.45" customHeight="1" x14ac:dyDescent="0.25">
      <c r="A14" s="233" t="s">
        <v>2</v>
      </c>
      <c r="B14" s="251">
        <f>SUM(B2:B13)</f>
        <v>505471384.76248246</v>
      </c>
    </row>
  </sheetData>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C7E0D-5420-4C58-B015-D4944B109DED}">
  <sheetPr>
    <tabColor rgb="FF92D050"/>
  </sheetPr>
  <dimension ref="A1:AY101"/>
  <sheetViews>
    <sheetView showGridLines="0" workbookViewId="0">
      <pane xSplit="4" ySplit="2" topLeftCell="E3" activePane="bottomRight" state="frozen"/>
      <selection pane="topRight" activeCell="E1" sqref="E1"/>
      <selection pane="bottomLeft" activeCell="A3" sqref="A3"/>
      <selection pane="bottomRight" activeCell="D3" sqref="D3"/>
    </sheetView>
  </sheetViews>
  <sheetFormatPr defaultColWidth="15.5703125" defaultRowHeight="12.75" x14ac:dyDescent="0.2"/>
  <cols>
    <col min="1" max="1" width="21.5703125" style="2" customWidth="1"/>
    <col min="2" max="2" width="16" style="2" customWidth="1"/>
    <col min="3" max="3" width="10" style="2" customWidth="1"/>
    <col min="4" max="4" width="12.42578125" style="59" customWidth="1"/>
    <col min="5" max="7" width="9.42578125" style="4" customWidth="1"/>
    <col min="8" max="8" width="10.42578125" style="4" customWidth="1"/>
    <col min="9" max="10" width="8.42578125" style="4" customWidth="1"/>
    <col min="11" max="11" width="9.42578125" style="4" customWidth="1"/>
    <col min="12" max="12" width="8.42578125" style="4" customWidth="1"/>
    <col min="13" max="13" width="7.85546875" style="4" customWidth="1"/>
    <col min="14" max="15" width="8.42578125" style="4" customWidth="1"/>
    <col min="16" max="19" width="9.140625" style="4" customWidth="1"/>
    <col min="20" max="20" width="8.42578125" style="4" customWidth="1"/>
    <col min="21" max="21" width="9.7109375" style="4" customWidth="1"/>
    <col min="22" max="22" width="8.85546875" style="4" customWidth="1"/>
    <col min="23" max="24" width="8.42578125" style="4" customWidth="1"/>
    <col min="25" max="26" width="8.7109375" style="4" customWidth="1"/>
    <col min="27" max="27" width="7.140625" style="4" customWidth="1"/>
    <col min="28" max="28" width="8" style="4" customWidth="1"/>
    <col min="29" max="32" width="9.5703125" style="4" customWidth="1"/>
    <col min="33" max="33" width="10.42578125" style="4" customWidth="1"/>
    <col min="34" max="34" width="9.85546875" style="4" customWidth="1"/>
    <col min="35" max="35" width="10.42578125" style="4" customWidth="1"/>
    <col min="36" max="38" width="9" style="4" customWidth="1"/>
    <col min="39" max="39" width="2.28515625" style="63" customWidth="1"/>
    <col min="40" max="40" width="14.42578125" style="4" customWidth="1"/>
    <col min="41" max="41" width="2.140625" style="63" customWidth="1"/>
    <col min="42" max="42" width="1.140625" style="67" customWidth="1"/>
    <col min="43" max="43" width="11.28515625" style="4" customWidth="1"/>
    <col min="44" max="44" width="9.28515625" style="4" customWidth="1"/>
    <col min="45" max="45" width="9.7109375" style="4" customWidth="1"/>
    <col min="46" max="46" width="9.5703125" style="4" customWidth="1"/>
    <col min="47" max="47" width="1.140625" style="63" customWidth="1"/>
    <col min="48" max="48" width="14" style="4" customWidth="1"/>
    <col min="49" max="49" width="0.85546875" style="63" customWidth="1"/>
    <col min="50" max="51" width="0" style="4" hidden="1" customWidth="1"/>
    <col min="52" max="16384" width="15.5703125" style="4"/>
  </cols>
  <sheetData>
    <row r="1" spans="1:51" ht="51.95" customHeight="1" x14ac:dyDescent="0.35">
      <c r="E1" s="335" t="s">
        <v>201</v>
      </c>
      <c r="F1" s="323"/>
      <c r="G1" s="324"/>
      <c r="H1" s="320" t="s">
        <v>323</v>
      </c>
      <c r="I1" s="320"/>
      <c r="J1" s="320"/>
      <c r="K1" s="320" t="s">
        <v>254</v>
      </c>
      <c r="L1" s="320"/>
      <c r="M1" s="320"/>
      <c r="N1" s="323" t="s">
        <v>261</v>
      </c>
      <c r="O1" s="323"/>
      <c r="P1" s="324"/>
      <c r="Q1" s="321" t="s">
        <v>467</v>
      </c>
      <c r="R1" s="321"/>
      <c r="S1" s="321"/>
      <c r="T1" s="320" t="s">
        <v>270</v>
      </c>
      <c r="U1" s="320"/>
      <c r="V1" s="320"/>
      <c r="W1" s="336" t="s">
        <v>218</v>
      </c>
      <c r="X1" s="337"/>
      <c r="Y1" s="337"/>
      <c r="Z1" s="338"/>
      <c r="AA1" s="335" t="s">
        <v>468</v>
      </c>
      <c r="AB1" s="323"/>
      <c r="AC1" s="323"/>
      <c r="AD1" s="323"/>
      <c r="AE1" s="323"/>
      <c r="AF1" s="324"/>
      <c r="AG1" s="335" t="s">
        <v>239</v>
      </c>
      <c r="AH1" s="323"/>
      <c r="AI1" s="324"/>
      <c r="AJ1" s="322" t="s">
        <v>469</v>
      </c>
      <c r="AK1" s="322"/>
      <c r="AL1" s="322"/>
      <c r="AM1" s="81"/>
      <c r="AN1" s="86" t="s">
        <v>322</v>
      </c>
      <c r="AQ1" s="319" t="s">
        <v>403</v>
      </c>
      <c r="AR1" s="319"/>
      <c r="AS1" s="319"/>
      <c r="AT1" s="319"/>
    </row>
    <row r="2" spans="1:51" s="1" customFormat="1" ht="72.95" customHeight="1" thickBot="1" x14ac:dyDescent="0.3">
      <c r="A2" s="7" t="s">
        <v>0</v>
      </c>
      <c r="B2" s="7" t="s">
        <v>1</v>
      </c>
      <c r="C2" s="222" t="s">
        <v>519</v>
      </c>
      <c r="D2" s="208" t="s">
        <v>514</v>
      </c>
      <c r="E2" s="214" t="s">
        <v>481</v>
      </c>
      <c r="F2" s="216" t="s">
        <v>484</v>
      </c>
      <c r="G2" s="218" t="s">
        <v>485</v>
      </c>
      <c r="H2" s="215" t="s">
        <v>486</v>
      </c>
      <c r="I2" s="216" t="s">
        <v>489</v>
      </c>
      <c r="J2" s="218" t="s">
        <v>490</v>
      </c>
      <c r="K2" s="72" t="s">
        <v>491</v>
      </c>
      <c r="L2" s="216" t="s">
        <v>492</v>
      </c>
      <c r="M2" s="218" t="s">
        <v>493</v>
      </c>
      <c r="N2" s="72" t="s">
        <v>494</v>
      </c>
      <c r="O2" s="217" t="s">
        <v>495</v>
      </c>
      <c r="P2" s="219" t="s">
        <v>496</v>
      </c>
      <c r="Q2" s="72" t="s">
        <v>497</v>
      </c>
      <c r="R2" s="216" t="s">
        <v>498</v>
      </c>
      <c r="S2" s="218" t="s">
        <v>499</v>
      </c>
      <c r="T2" s="73" t="s">
        <v>500</v>
      </c>
      <c r="U2" s="217" t="s">
        <v>501</v>
      </c>
      <c r="V2" s="218" t="s">
        <v>502</v>
      </c>
      <c r="W2" s="198" t="s">
        <v>480</v>
      </c>
      <c r="X2" s="216" t="s">
        <v>511</v>
      </c>
      <c r="Y2" s="218" t="s">
        <v>512</v>
      </c>
      <c r="Z2" s="218" t="s">
        <v>513</v>
      </c>
      <c r="AA2" s="72" t="s">
        <v>483</v>
      </c>
      <c r="AB2" s="216" t="s">
        <v>503</v>
      </c>
      <c r="AC2" s="218" t="s">
        <v>504</v>
      </c>
      <c r="AD2" s="220" t="s">
        <v>487</v>
      </c>
      <c r="AE2" s="220" t="s">
        <v>488</v>
      </c>
      <c r="AF2" s="220" t="s">
        <v>515</v>
      </c>
      <c r="AG2" s="72" t="s">
        <v>505</v>
      </c>
      <c r="AH2" s="216" t="s">
        <v>506</v>
      </c>
      <c r="AI2" s="218" t="s">
        <v>507</v>
      </c>
      <c r="AJ2" s="72" t="s">
        <v>508</v>
      </c>
      <c r="AK2" s="216" t="s">
        <v>509</v>
      </c>
      <c r="AL2" s="218" t="s">
        <v>510</v>
      </c>
      <c r="AM2" s="82" t="s">
        <v>314</v>
      </c>
      <c r="AN2" s="47" t="s">
        <v>516</v>
      </c>
      <c r="AO2" s="64"/>
      <c r="AP2" s="68"/>
      <c r="AQ2" s="69" t="s">
        <v>311</v>
      </c>
      <c r="AR2" s="70" t="s">
        <v>176</v>
      </c>
      <c r="AS2" s="70" t="s">
        <v>312</v>
      </c>
      <c r="AT2" s="71" t="s">
        <v>313</v>
      </c>
      <c r="AU2" s="64"/>
      <c r="AV2" s="110" t="s">
        <v>397</v>
      </c>
      <c r="AW2" s="64"/>
      <c r="AY2" s="1" t="s">
        <v>577</v>
      </c>
    </row>
    <row r="3" spans="1:51" ht="13.5" customHeight="1" thickTop="1" x14ac:dyDescent="0.2">
      <c r="A3" s="3" t="s">
        <v>5</v>
      </c>
      <c r="B3" s="3" t="s">
        <v>5</v>
      </c>
      <c r="C3" s="223" t="s">
        <v>517</v>
      </c>
      <c r="D3" s="209">
        <f>Table136[[#This Row],[Overall Intersectorial Final PiN]]</f>
        <v>458019.6</v>
      </c>
      <c r="E3" s="205">
        <f>Table1345[[#This Row],[CCCM_Target]]</f>
        <v>0</v>
      </c>
      <c r="F3" s="74"/>
      <c r="G3" s="74"/>
      <c r="H3" s="74">
        <v>6690.1106290440166</v>
      </c>
      <c r="I3" s="74">
        <v>2341.5387201654057</v>
      </c>
      <c r="J3" s="74">
        <v>4348.5719088786109</v>
      </c>
      <c r="K3" s="74">
        <f>Table1345[[#This Row],[Education Target]]</f>
        <v>0</v>
      </c>
      <c r="L3" s="74">
        <v>49851.945</v>
      </c>
      <c r="M3" s="74">
        <v>50859.055</v>
      </c>
      <c r="N3" s="74">
        <f>Table1345[[#This Row],[FSC Target]]</f>
        <v>171750</v>
      </c>
      <c r="O3" s="74"/>
      <c r="P3" s="74"/>
      <c r="Q3" s="77">
        <v>0</v>
      </c>
      <c r="R3" s="212">
        <v>0</v>
      </c>
      <c r="S3" s="74">
        <v>0</v>
      </c>
      <c r="T3" s="74">
        <f>0.65*Table1345[[#This Row],[Health PiN]]</f>
        <v>297712.74</v>
      </c>
      <c r="U3" s="74">
        <v>136947.86040000001</v>
      </c>
      <c r="V3" s="76">
        <v>160764.87960000001</v>
      </c>
      <c r="W3" s="52">
        <f>Table1345[[#This Row],[Nutrition Target]]</f>
        <v>0</v>
      </c>
      <c r="X3" s="74"/>
      <c r="Y3" s="74"/>
      <c r="Z3" s="74"/>
      <c r="AA3" s="74">
        <f>Table1345[[#This Row],[Shelter/NFIs Target]]</f>
        <v>0</v>
      </c>
      <c r="AB3" s="74"/>
      <c r="AC3" s="52"/>
      <c r="AD3" s="52"/>
      <c r="AE3" s="52"/>
      <c r="AF3" s="52"/>
      <c r="AG3" s="66">
        <f>Table1345[[#This Row],[WASH Targets]]</f>
        <v>53435.62</v>
      </c>
      <c r="AH3" s="74">
        <v>24516.262456</v>
      </c>
      <c r="AI3" s="74">
        <v>28919.357544000002</v>
      </c>
      <c r="AJ3" s="74"/>
      <c r="AK3" s="74"/>
      <c r="AL3" s="74"/>
      <c r="AM3" s="83"/>
      <c r="AN3"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297712.74</v>
      </c>
      <c r="AQ3" s="66">
        <f>Table13611[[#This Row],[Overall Intersectorial Final Target]]-(Table813[[#This Row],[IDPs]]+Table813[[#This Row],[Returnee Migrants]]+Table813[[#This Row],[Refugees]])</f>
        <v>297712.74</v>
      </c>
      <c r="AR3" s="66">
        <f>Table8[[#This Row],[IDPs]]</f>
        <v>0</v>
      </c>
      <c r="AS3" s="66">
        <f>Table8[[#This Row],[Returnee Migrants]]</f>
        <v>0</v>
      </c>
      <c r="AT3" s="66">
        <f>Table13611[[#This Row],[Refugee Targets]]</f>
        <v>0</v>
      </c>
      <c r="AV3" s="79">
        <f>Table9[[#This Row],[2020 Inter-cluster Response ]]</f>
        <v>39968</v>
      </c>
      <c r="AX3" s="79">
        <f>Table13611[[#This Row],[Overall Intersectorial PiN]]-Table13611[[#This Row],[Overall Intersectorial Final Target]]</f>
        <v>160306.85999999999</v>
      </c>
      <c r="AY3" s="4">
        <v>4</v>
      </c>
    </row>
    <row r="4" spans="1:51" x14ac:dyDescent="0.2">
      <c r="A4" s="3" t="s">
        <v>104</v>
      </c>
      <c r="B4" s="3" t="s">
        <v>104</v>
      </c>
      <c r="C4" s="223" t="s">
        <v>517</v>
      </c>
      <c r="D4" s="209">
        <f>Table136[[#This Row],[Overall Intersectorial Final PiN]]</f>
        <v>451.94184201219275</v>
      </c>
      <c r="E4" s="206">
        <f>Table1345[[#This Row],[CCCM_Target]]</f>
        <v>0</v>
      </c>
      <c r="F4" s="52"/>
      <c r="G4" s="52"/>
      <c r="H4" s="74">
        <v>0</v>
      </c>
      <c r="I4" s="52">
        <v>0</v>
      </c>
      <c r="J4" s="52">
        <v>0</v>
      </c>
      <c r="K4" s="74">
        <f>Table1345[[#This Row],[Education Target]]</f>
        <v>0</v>
      </c>
      <c r="L4" s="74">
        <v>0</v>
      </c>
      <c r="M4" s="74">
        <v>0</v>
      </c>
      <c r="N4" s="52">
        <f>Table1345[[#This Row],[FSC Target]]</f>
        <v>0</v>
      </c>
      <c r="O4" s="52"/>
      <c r="P4" s="52"/>
      <c r="Q4" s="51">
        <v>0</v>
      </c>
      <c r="R4" s="213">
        <v>0</v>
      </c>
      <c r="S4" s="52">
        <v>0</v>
      </c>
      <c r="T4" s="52"/>
      <c r="U4" s="74" t="s">
        <v>471</v>
      </c>
      <c r="V4" s="52" t="s">
        <v>471</v>
      </c>
      <c r="W4" s="52">
        <f>Table1345[[#This Row],[Nutrition Target]]</f>
        <v>0</v>
      </c>
      <c r="X4" s="52"/>
      <c r="Y4" s="52"/>
      <c r="Z4" s="52"/>
      <c r="AA4" s="52">
        <f>Table1345[[#This Row],[Shelter/NFIs Target]]</f>
        <v>0</v>
      </c>
      <c r="AB4" s="52"/>
      <c r="AC4" s="52"/>
      <c r="AD4" s="52"/>
      <c r="AE4" s="52"/>
      <c r="AF4" s="52"/>
      <c r="AG4" s="66">
        <f>Table1345[[#This Row],[WASH Targets]]</f>
        <v>0</v>
      </c>
      <c r="AH4" s="52">
        <v>0</v>
      </c>
      <c r="AI4" s="52">
        <v>0</v>
      </c>
      <c r="AJ4" s="52"/>
      <c r="AK4" s="52"/>
      <c r="AL4" s="52"/>
      <c r="AM4" s="84"/>
      <c r="AN4"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0</v>
      </c>
      <c r="AQ4" s="66">
        <f>Table13611[[#This Row],[Overall Intersectorial Final Target]]-(Table813[[#This Row],[IDPs]]+Table813[[#This Row],[Returnee Migrants]]+Table813[[#This Row],[Refugees]])</f>
        <v>0</v>
      </c>
      <c r="AR4" s="66">
        <f>Table8[[#This Row],[IDPs]]</f>
        <v>0</v>
      </c>
      <c r="AS4" s="66">
        <f>Table8[[#This Row],[Returnee Migrants]]</f>
        <v>0</v>
      </c>
      <c r="AT4" s="66">
        <f>Table13611[[#This Row],[Refugee Targets]]</f>
        <v>0</v>
      </c>
      <c r="AV4" s="79">
        <f>Table9[[#This Row],[2020 Inter-cluster Response ]]</f>
        <v>0</v>
      </c>
      <c r="AX4" s="79">
        <f>Table13611[[#This Row],[Overall Intersectorial PiN]]-Table13611[[#This Row],[Overall Intersectorial Final Target]]</f>
        <v>451.94184201219275</v>
      </c>
      <c r="AY4" s="4">
        <v>3</v>
      </c>
    </row>
    <row r="5" spans="1:51" x14ac:dyDescent="0.2">
      <c r="A5" s="3" t="s">
        <v>84</v>
      </c>
      <c r="B5" s="3" t="s">
        <v>85</v>
      </c>
      <c r="C5" s="223" t="s">
        <v>517</v>
      </c>
      <c r="D5" s="209">
        <f>Table136[[#This Row],[Overall Intersectorial Final PiN]]</f>
        <v>206218.35093641083</v>
      </c>
      <c r="E5" s="206">
        <f>Table1345[[#This Row],[CCCM_Target]]</f>
        <v>0</v>
      </c>
      <c r="F5" s="52"/>
      <c r="G5" s="52"/>
      <c r="H5" s="74">
        <v>6312.9975866523801</v>
      </c>
      <c r="I5" s="52">
        <v>2209.5491553283327</v>
      </c>
      <c r="J5" s="52">
        <v>4103.4484313240473</v>
      </c>
      <c r="K5" s="74">
        <f>Table1345[[#This Row],[Education Target]]</f>
        <v>64331.195153758483</v>
      </c>
      <c r="L5" s="74">
        <v>31843.941601110448</v>
      </c>
      <c r="M5" s="74">
        <v>32487.253552648035</v>
      </c>
      <c r="N5" s="52">
        <f>Table1345[[#This Row],[FSC Target]]</f>
        <v>89200</v>
      </c>
      <c r="O5" s="52"/>
      <c r="P5" s="52"/>
      <c r="Q5" s="51">
        <v>20900</v>
      </c>
      <c r="R5" s="213">
        <v>5358</v>
      </c>
      <c r="S5" s="52">
        <v>15542</v>
      </c>
      <c r="T5" s="52">
        <f>0.65*Table1345[[#This Row],[Health PiN]]</f>
        <v>92132.26899052909</v>
      </c>
      <c r="U5" s="74">
        <v>42380.843735643386</v>
      </c>
      <c r="V5" s="52">
        <v>49751.425254885711</v>
      </c>
      <c r="W5" s="52">
        <f>Table1345[[#This Row],[Nutrition Target]]</f>
        <v>0</v>
      </c>
      <c r="X5" s="52"/>
      <c r="Y5" s="52"/>
      <c r="Z5" s="52"/>
      <c r="AA5" s="52">
        <f>Table1345[[#This Row],[Shelter/NFIs Target]]</f>
        <v>0</v>
      </c>
      <c r="AB5" s="52"/>
      <c r="AC5" s="52"/>
      <c r="AD5" s="52"/>
      <c r="AE5" s="52"/>
      <c r="AF5" s="52"/>
      <c r="AG5" s="66">
        <f>Table1345[[#This Row],[WASH Targets]]</f>
        <v>42995.058862246908</v>
      </c>
      <c r="AH5" s="52">
        <v>19726.13300599888</v>
      </c>
      <c r="AI5" s="52">
        <v>23268.925856248028</v>
      </c>
      <c r="AJ5" s="52"/>
      <c r="AK5" s="52"/>
      <c r="AL5" s="52"/>
      <c r="AM5" s="84"/>
      <c r="AN5"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92132.26899052909</v>
      </c>
      <c r="AQ5" s="66">
        <f>Table13611[[#This Row],[Overall Intersectorial Final Target]]-(Table813[[#This Row],[IDPs]]+Table813[[#This Row],[Returnee Migrants]]+Table813[[#This Row],[Refugees]])</f>
        <v>92132.26899052909</v>
      </c>
      <c r="AR5" s="66">
        <f>Table8[[#This Row],[IDPs]]</f>
        <v>0</v>
      </c>
      <c r="AS5" s="66">
        <f>Table8[[#This Row],[Returnee Migrants]]</f>
        <v>0</v>
      </c>
      <c r="AT5" s="66">
        <f>Table13611[[#This Row],[Refugee Targets]]</f>
        <v>0</v>
      </c>
      <c r="AV5" s="79">
        <f>Table9[[#This Row],[2020 Inter-cluster Response ]]</f>
        <v>0</v>
      </c>
      <c r="AX5" s="79">
        <f>Table13611[[#This Row],[Overall Intersectorial PiN]]-Table13611[[#This Row],[Overall Intersectorial Final Target]]</f>
        <v>114086.08194588174</v>
      </c>
      <c r="AY5" s="4">
        <v>3</v>
      </c>
    </row>
    <row r="6" spans="1:51" x14ac:dyDescent="0.2">
      <c r="A6" s="3" t="s">
        <v>84</v>
      </c>
      <c r="B6" s="3" t="s">
        <v>86</v>
      </c>
      <c r="C6" s="223" t="s">
        <v>517</v>
      </c>
      <c r="D6" s="209">
        <f>Table136[[#This Row],[Overall Intersectorial Final PiN]]</f>
        <v>110863.83633612983</v>
      </c>
      <c r="E6" s="206">
        <f>Table1345[[#This Row],[CCCM_Target]]</f>
        <v>0</v>
      </c>
      <c r="F6" s="52"/>
      <c r="G6" s="52"/>
      <c r="H6" s="74">
        <v>0</v>
      </c>
      <c r="I6" s="52">
        <v>0</v>
      </c>
      <c r="J6" s="52">
        <v>0</v>
      </c>
      <c r="K6" s="74">
        <f>Table1345[[#This Row],[Education Target]]</f>
        <v>0</v>
      </c>
      <c r="L6" s="74">
        <v>0</v>
      </c>
      <c r="M6" s="74">
        <v>0</v>
      </c>
      <c r="N6" s="52">
        <f>Table1345[[#This Row],[FSC Target]]</f>
        <v>70600</v>
      </c>
      <c r="O6" s="52"/>
      <c r="P6" s="52"/>
      <c r="Q6" s="51">
        <v>15919</v>
      </c>
      <c r="R6" s="213">
        <v>5062</v>
      </c>
      <c r="S6" s="52">
        <v>10857</v>
      </c>
      <c r="T6" s="52">
        <f>0.65*Table1345[[#This Row],[Health PiN]]</f>
        <v>72061.493618484383</v>
      </c>
      <c r="U6" s="74">
        <v>33148.287064502816</v>
      </c>
      <c r="V6" s="52">
        <v>38913.206553981567</v>
      </c>
      <c r="W6" s="52">
        <f>Table1345[[#This Row],[Nutrition Target]]</f>
        <v>0</v>
      </c>
      <c r="X6" s="52"/>
      <c r="Y6" s="52"/>
      <c r="Z6" s="52"/>
      <c r="AA6" s="52">
        <f>Table1345[[#This Row],[Shelter/NFIs Target]]</f>
        <v>0</v>
      </c>
      <c r="AB6" s="52"/>
      <c r="AC6" s="52"/>
      <c r="AD6" s="52"/>
      <c r="AE6" s="52"/>
      <c r="AF6" s="52"/>
      <c r="AG6" s="66">
        <f>Table1345[[#This Row],[WASH Targets]]</f>
        <v>38802.342717645435</v>
      </c>
      <c r="AH6" s="52">
        <v>17802.514838855728</v>
      </c>
      <c r="AI6" s="52">
        <v>20999.827878789711</v>
      </c>
      <c r="AJ6" s="52"/>
      <c r="AK6" s="52"/>
      <c r="AL6" s="52"/>
      <c r="AM6" s="84"/>
      <c r="AN6"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72061.493618484383</v>
      </c>
      <c r="AQ6" s="66">
        <f>Table13611[[#This Row],[Overall Intersectorial Final Target]]-(Table813[[#This Row],[IDPs]]+Table813[[#This Row],[Returnee Migrants]]+Table813[[#This Row],[Refugees]])</f>
        <v>72061.493618484383</v>
      </c>
      <c r="AR6" s="66">
        <f>Table8[[#This Row],[IDPs]]</f>
        <v>0</v>
      </c>
      <c r="AS6" s="66">
        <f>Table8[[#This Row],[Returnee Migrants]]</f>
        <v>0</v>
      </c>
      <c r="AT6" s="66">
        <f>Table13611[[#This Row],[Refugee Targets]]</f>
        <v>0</v>
      </c>
      <c r="AV6" s="79">
        <f>Table9[[#This Row],[2020 Inter-cluster Response ]]</f>
        <v>19220</v>
      </c>
      <c r="AX6" s="79">
        <f>Table13611[[#This Row],[Overall Intersectorial PiN]]-Table13611[[#This Row],[Overall Intersectorial Final Target]]</f>
        <v>38802.342717645442</v>
      </c>
      <c r="AY6" s="4">
        <v>4</v>
      </c>
    </row>
    <row r="7" spans="1:51" x14ac:dyDescent="0.2">
      <c r="A7" s="3" t="s">
        <v>84</v>
      </c>
      <c r="B7" s="3" t="s">
        <v>84</v>
      </c>
      <c r="C7" s="223" t="s">
        <v>517</v>
      </c>
      <c r="D7" s="209">
        <f>Table136[[#This Row],[Overall Intersectorial Final PiN]]</f>
        <v>858317.13815613836</v>
      </c>
      <c r="E7" s="206">
        <f>Table1345[[#This Row],[CCCM_Target]]</f>
        <v>0</v>
      </c>
      <c r="F7" s="52"/>
      <c r="G7" s="52"/>
      <c r="H7" s="74">
        <v>18853.195793307452</v>
      </c>
      <c r="I7" s="52">
        <v>6598.618527657608</v>
      </c>
      <c r="J7" s="52">
        <v>12254.577265649845</v>
      </c>
      <c r="K7" s="74">
        <f>Table1345[[#This Row],[Education Target]]</f>
        <v>308205.79945300322</v>
      </c>
      <c r="L7" s="74">
        <v>152561.8707292366</v>
      </c>
      <c r="M7" s="74">
        <v>155643.92872376661</v>
      </c>
      <c r="N7" s="52">
        <f>Table1345[[#This Row],[FSC Target]]</f>
        <v>275791</v>
      </c>
      <c r="O7" s="52"/>
      <c r="P7" s="52"/>
      <c r="Q7" s="51">
        <v>119377</v>
      </c>
      <c r="R7" s="213">
        <v>32763</v>
      </c>
      <c r="S7" s="52">
        <v>86614</v>
      </c>
      <c r="T7" s="52">
        <f>0.65*Table1345[[#This Row],[Health PiN]]</f>
        <v>212033.25</v>
      </c>
      <c r="U7" s="74">
        <v>97535.294999999998</v>
      </c>
      <c r="V7" s="52">
        <v>114497.955</v>
      </c>
      <c r="W7" s="52">
        <f>Table1345[[#This Row],[Nutrition Target]]</f>
        <v>205697.64269457239</v>
      </c>
      <c r="X7" s="52">
        <v>65697.38859598733</v>
      </c>
      <c r="Y7" s="52">
        <v>71172.170978986265</v>
      </c>
      <c r="Z7" s="52">
        <v>137656.16623919757</v>
      </c>
      <c r="AA7" s="52">
        <f>Table1345[[#This Row],[Shelter/NFIs Target]]</f>
        <v>0</v>
      </c>
      <c r="AB7" s="52"/>
      <c r="AC7" s="52"/>
      <c r="AD7" s="52"/>
      <c r="AE7" s="52"/>
      <c r="AF7" s="52"/>
      <c r="AG7" s="66">
        <f>Table1345[[#This Row],[WASH Targets]]</f>
        <v>178953.01611095684</v>
      </c>
      <c r="AH7" s="52">
        <v>82103.643791706985</v>
      </c>
      <c r="AI7" s="52">
        <v>96849.372319249844</v>
      </c>
      <c r="AJ7" s="52">
        <v>829</v>
      </c>
      <c r="AK7" s="52">
        <v>471</v>
      </c>
      <c r="AL7" s="52">
        <v>358</v>
      </c>
      <c r="AM7" s="84"/>
      <c r="AN7" s="89">
        <v>275791</v>
      </c>
      <c r="AQ7" s="66">
        <f>Table13611[[#This Row],[Overall Intersectorial Final Target]]-(Table813[[#This Row],[IDPs]]+Table813[[#This Row],[Returnee Migrants]]+Table813[[#This Row],[Refugees]])</f>
        <v>274962</v>
      </c>
      <c r="AR7" s="66">
        <f>Table8[[#This Row],[IDPs]]</f>
        <v>0</v>
      </c>
      <c r="AS7" s="66">
        <f>Table8[[#This Row],[Returnee Migrants]]</f>
        <v>0</v>
      </c>
      <c r="AT7" s="66">
        <f>Table13611[[#This Row],[Refugee Targets]]</f>
        <v>829</v>
      </c>
      <c r="AV7" s="79">
        <f>Table9[[#This Row],[2020 Inter-cluster Response ]]</f>
        <v>12000</v>
      </c>
      <c r="AX7" s="79">
        <f>Table13611[[#This Row],[Overall Intersectorial PiN]]-Table13611[[#This Row],[Overall Intersectorial Final Target]]</f>
        <v>582526.13815613836</v>
      </c>
      <c r="AY7" s="4">
        <v>3</v>
      </c>
    </row>
    <row r="8" spans="1:51" x14ac:dyDescent="0.2">
      <c r="A8" s="3" t="s">
        <v>84</v>
      </c>
      <c r="B8" s="3" t="s">
        <v>87</v>
      </c>
      <c r="C8" s="223" t="s">
        <v>517</v>
      </c>
      <c r="D8" s="209">
        <f>Table136[[#This Row],[Overall Intersectorial Final PiN]]</f>
        <v>65649.026028543129</v>
      </c>
      <c r="E8" s="206">
        <f>Table1345[[#This Row],[CCCM_Target]]</f>
        <v>0</v>
      </c>
      <c r="F8" s="52"/>
      <c r="G8" s="52"/>
      <c r="H8" s="74">
        <v>0</v>
      </c>
      <c r="I8" s="52">
        <v>0</v>
      </c>
      <c r="J8" s="52">
        <v>0</v>
      </c>
      <c r="K8" s="74">
        <f>Table1345[[#This Row],[Education Target]]</f>
        <v>0</v>
      </c>
      <c r="L8" s="74">
        <v>0</v>
      </c>
      <c r="M8" s="74">
        <v>0</v>
      </c>
      <c r="N8" s="52">
        <f>Table1345[[#This Row],[FSC Target]]</f>
        <v>5000</v>
      </c>
      <c r="O8" s="52"/>
      <c r="P8" s="52"/>
      <c r="Q8" s="51">
        <v>12676</v>
      </c>
      <c r="R8" s="213">
        <v>3883</v>
      </c>
      <c r="S8" s="52">
        <v>8793</v>
      </c>
      <c r="T8" s="52">
        <f>0.65*Table1345[[#This Row],[Health PiN]]</f>
        <v>29330.046029187066</v>
      </c>
      <c r="U8" s="74">
        <v>13491.821173426051</v>
      </c>
      <c r="V8" s="52">
        <v>15838.224855761016</v>
      </c>
      <c r="W8" s="52">
        <f>Table1345[[#This Row],[Nutrition Target]]</f>
        <v>0</v>
      </c>
      <c r="X8" s="52"/>
      <c r="Y8" s="52"/>
      <c r="Z8" s="52"/>
      <c r="AA8" s="52">
        <f>Table1345[[#This Row],[Shelter/NFIs Target]]</f>
        <v>0</v>
      </c>
      <c r="AB8" s="52"/>
      <c r="AC8" s="52"/>
      <c r="AD8" s="52"/>
      <c r="AE8" s="52"/>
      <c r="AF8" s="52"/>
      <c r="AG8" s="66">
        <f>Table1345[[#This Row],[WASH Targets]]</f>
        <v>13687.35481362063</v>
      </c>
      <c r="AH8" s="52">
        <v>6279.7583884891446</v>
      </c>
      <c r="AI8" s="52">
        <v>7407.5964251314854</v>
      </c>
      <c r="AJ8" s="52"/>
      <c r="AK8" s="52"/>
      <c r="AL8" s="52"/>
      <c r="AM8" s="84"/>
      <c r="AN8"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29330.046029187066</v>
      </c>
      <c r="AQ8" s="66">
        <f>Table13611[[#This Row],[Overall Intersectorial Final Target]]-(Table813[[#This Row],[IDPs]]+Table813[[#This Row],[Returnee Migrants]]+Table813[[#This Row],[Refugees]])</f>
        <v>29330.046029187066</v>
      </c>
      <c r="AR8" s="66">
        <f>Table8[[#This Row],[IDPs]]</f>
        <v>0</v>
      </c>
      <c r="AS8" s="66">
        <f>Table8[[#This Row],[Returnee Migrants]]</f>
        <v>0</v>
      </c>
      <c r="AT8" s="66">
        <f>Table13611[[#This Row],[Refugee Targets]]</f>
        <v>0</v>
      </c>
      <c r="AV8" s="79">
        <f>Table9[[#This Row],[2020 Inter-cluster Response ]]</f>
        <v>23000</v>
      </c>
      <c r="AX8" s="79">
        <f>Table13611[[#This Row],[Overall Intersectorial PiN]]-Table13611[[#This Row],[Overall Intersectorial Final Target]]</f>
        <v>36318.979999356059</v>
      </c>
      <c r="AY8" s="4">
        <v>3</v>
      </c>
    </row>
    <row r="9" spans="1:51" x14ac:dyDescent="0.2">
      <c r="A9" s="3" t="s">
        <v>6</v>
      </c>
      <c r="B9" s="3" t="s">
        <v>7</v>
      </c>
      <c r="C9" s="223" t="s">
        <v>518</v>
      </c>
      <c r="D9" s="209">
        <f>Table136[[#This Row],[Overall Intersectorial Final PiN]]</f>
        <v>147902</v>
      </c>
      <c r="E9" s="206">
        <f>Table1345[[#This Row],[CCCM_Target]]</f>
        <v>0</v>
      </c>
      <c r="F9" s="52"/>
      <c r="G9" s="52"/>
      <c r="H9" s="74">
        <v>4355.1524319679993</v>
      </c>
      <c r="I9" s="52">
        <v>1524.3033511887998</v>
      </c>
      <c r="J9" s="52">
        <v>2830.8490807791995</v>
      </c>
      <c r="K9" s="74">
        <f>Table1345[[#This Row],[Education Target]]</f>
        <v>0</v>
      </c>
      <c r="L9" s="74">
        <v>0</v>
      </c>
      <c r="M9" s="74">
        <v>0</v>
      </c>
      <c r="N9" s="52">
        <f>Table1345[[#This Row],[FSC Target]]</f>
        <v>60490.282500999994</v>
      </c>
      <c r="O9" s="52"/>
      <c r="P9" s="52"/>
      <c r="Q9" s="51">
        <v>23340</v>
      </c>
      <c r="R9" s="213">
        <v>6817</v>
      </c>
      <c r="S9" s="52">
        <v>16523</v>
      </c>
      <c r="T9" s="52">
        <f>0.65*Table1345[[#This Row],[Health PiN]]</f>
        <v>93360.991083603687</v>
      </c>
      <c r="U9" s="74">
        <v>42946.0558984577</v>
      </c>
      <c r="V9" s="52">
        <v>50414.935185145994</v>
      </c>
      <c r="W9" s="52">
        <f>Table1345[[#This Row],[Nutrition Target]]</f>
        <v>33035.427614198226</v>
      </c>
      <c r="X9" s="52"/>
      <c r="Y9" s="52"/>
      <c r="Z9" s="52"/>
      <c r="AA9" s="52">
        <f>Table1345[[#This Row],[Shelter/NFIs Target]]</f>
        <v>12395</v>
      </c>
      <c r="AB9" s="52">
        <v>1822.2</v>
      </c>
      <c r="AC9" s="52">
        <v>1986.42</v>
      </c>
      <c r="AD9" s="52">
        <v>4451.5200000000004</v>
      </c>
      <c r="AE9" s="52">
        <v>4834.9799999999996</v>
      </c>
      <c r="AF9" s="52">
        <v>599.75599999999986</v>
      </c>
      <c r="AG9" s="66">
        <f>Table1345[[#This Row],[WASH Targets]]</f>
        <v>76412.380394580236</v>
      </c>
      <c r="AH9" s="52">
        <v>35058.00012503341</v>
      </c>
      <c r="AI9" s="52">
        <v>41354.380269546826</v>
      </c>
      <c r="AJ9" s="52"/>
      <c r="AK9" s="52"/>
      <c r="AL9" s="52"/>
      <c r="AM9" s="84"/>
      <c r="AN9"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93360.991083603687</v>
      </c>
      <c r="AQ9" s="66">
        <f>Table13611[[#This Row],[Overall Intersectorial Final Target]]-(Table813[[#This Row],[IDPs]]+Table813[[#This Row],[Returnee Migrants]]+Table813[[#This Row],[Refugees]])</f>
        <v>93360.991083603687</v>
      </c>
      <c r="AR9" s="66">
        <f>Table8[[#This Row],[IDPs]]</f>
        <v>0</v>
      </c>
      <c r="AS9" s="66">
        <f>Table8[[#This Row],[Returnee Migrants]]</f>
        <v>0</v>
      </c>
      <c r="AT9" s="66">
        <f>Table13611[[#This Row],[Refugee Targets]]</f>
        <v>0</v>
      </c>
      <c r="AV9" s="79">
        <f>Table9[[#This Row],[2020 Inter-cluster Response ]]</f>
        <v>83852</v>
      </c>
      <c r="AX9" s="79">
        <f>Table13611[[#This Row],[Overall Intersectorial PiN]]-Table13611[[#This Row],[Overall Intersectorial Final Target]]</f>
        <v>54541.008916396313</v>
      </c>
      <c r="AY9" s="4">
        <v>4</v>
      </c>
    </row>
    <row r="10" spans="1:51" x14ac:dyDescent="0.2">
      <c r="A10" s="3" t="s">
        <v>6</v>
      </c>
      <c r="B10" s="3" t="s">
        <v>8</v>
      </c>
      <c r="C10" s="223" t="s">
        <v>518</v>
      </c>
      <c r="D10" s="209">
        <f>Table136[[#This Row],[Overall Intersectorial Final PiN]]</f>
        <v>59033</v>
      </c>
      <c r="E10" s="206">
        <f>Table1345[[#This Row],[CCCM_Target]]</f>
        <v>732</v>
      </c>
      <c r="F10" s="52">
        <v>100</v>
      </c>
      <c r="G10" s="52">
        <v>109</v>
      </c>
      <c r="H10" s="74">
        <v>0</v>
      </c>
      <c r="I10" s="52">
        <v>0</v>
      </c>
      <c r="J10" s="52">
        <v>0</v>
      </c>
      <c r="K10" s="74">
        <f>Table1345[[#This Row],[Education Target]]</f>
        <v>0</v>
      </c>
      <c r="L10" s="74">
        <v>0</v>
      </c>
      <c r="M10" s="74">
        <v>0</v>
      </c>
      <c r="N10" s="52">
        <f>Table1345[[#This Row],[FSC Target]]</f>
        <v>59033</v>
      </c>
      <c r="O10" s="52"/>
      <c r="P10" s="52"/>
      <c r="Q10" s="51">
        <v>16094.999999999998</v>
      </c>
      <c r="R10" s="213">
        <v>3373</v>
      </c>
      <c r="S10" s="52">
        <v>12721.999999999998</v>
      </c>
      <c r="T10" s="52">
        <f>0.65*Table1345[[#This Row],[Health PiN]]</f>
        <v>30742.39778301795</v>
      </c>
      <c r="U10" s="74">
        <v>14141.502980188257</v>
      </c>
      <c r="V10" s="52">
        <v>16600.894802829695</v>
      </c>
      <c r="W10" s="52">
        <f>Table1345[[#This Row],[Nutrition Target]]</f>
        <v>0</v>
      </c>
      <c r="X10" s="52"/>
      <c r="Y10" s="52"/>
      <c r="Z10" s="52"/>
      <c r="AA10" s="52">
        <f>Table1345[[#This Row],[Shelter/NFIs Target]]</f>
        <v>9000</v>
      </c>
      <c r="AB10" s="52">
        <v>1330</v>
      </c>
      <c r="AC10" s="52">
        <v>1450</v>
      </c>
      <c r="AD10" s="52">
        <v>3230</v>
      </c>
      <c r="AE10" s="52">
        <v>3514</v>
      </c>
      <c r="AF10" s="52">
        <v>476.2</v>
      </c>
      <c r="AG10" s="66">
        <f>Table1345[[#This Row],[WASH Targets]]</f>
        <v>0</v>
      </c>
      <c r="AH10" s="52">
        <v>0</v>
      </c>
      <c r="AI10" s="52">
        <v>0</v>
      </c>
      <c r="AJ10" s="52"/>
      <c r="AK10" s="52"/>
      <c r="AL10" s="52"/>
      <c r="AM10" s="84"/>
      <c r="AN10"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59033</v>
      </c>
      <c r="AQ10" s="66">
        <f>Table13611[[#This Row],[Overall Intersectorial Final Target]]-(Table813[[#This Row],[IDPs]]+Table813[[#This Row],[Returnee Migrants]]+Table813[[#This Row],[Refugees]])</f>
        <v>57433</v>
      </c>
      <c r="AR10" s="66">
        <f>Table8[[#This Row],[IDPs]]</f>
        <v>1600</v>
      </c>
      <c r="AS10" s="66">
        <f>Table8[[#This Row],[Returnee Migrants]]</f>
        <v>0</v>
      </c>
      <c r="AT10" s="66">
        <f>Table13611[[#This Row],[Refugee Targets]]</f>
        <v>0</v>
      </c>
      <c r="AV10" s="79">
        <f>Table9[[#This Row],[2020 Inter-cluster Response ]]</f>
        <v>87542</v>
      </c>
      <c r="AX10" s="257">
        <f>Table13611[[#This Row],[Overall Intersectorial PiN]]-Table13611[[#This Row],[Overall Intersectorial Final Target]]</f>
        <v>0</v>
      </c>
      <c r="AY10" s="258">
        <v>3</v>
      </c>
    </row>
    <row r="11" spans="1:51" x14ac:dyDescent="0.2">
      <c r="A11" s="3" t="s">
        <v>6</v>
      </c>
      <c r="B11" s="3" t="s">
        <v>89</v>
      </c>
      <c r="C11" s="223" t="s">
        <v>518</v>
      </c>
      <c r="D11" s="209">
        <f>Table136[[#This Row],[Overall Intersectorial Final PiN]]</f>
        <v>147077</v>
      </c>
      <c r="E11" s="206">
        <f>Table1345[[#This Row],[CCCM_Target]]</f>
        <v>0</v>
      </c>
      <c r="F11" s="52"/>
      <c r="G11" s="52"/>
      <c r="H11" s="74">
        <v>0</v>
      </c>
      <c r="I11" s="52">
        <v>0</v>
      </c>
      <c r="J11" s="52">
        <v>0</v>
      </c>
      <c r="K11" s="74">
        <f>Table1345[[#This Row],[Education Target]]</f>
        <v>0</v>
      </c>
      <c r="L11" s="74">
        <v>0</v>
      </c>
      <c r="M11" s="74">
        <v>0</v>
      </c>
      <c r="N11" s="52">
        <f>Table1345[[#This Row],[FSC Target]]</f>
        <v>110133.8489635</v>
      </c>
      <c r="O11" s="52"/>
      <c r="P11" s="52"/>
      <c r="Q11" s="51">
        <v>31735</v>
      </c>
      <c r="R11" s="213">
        <v>8077.8</v>
      </c>
      <c r="S11" s="52">
        <v>23657.200000000001</v>
      </c>
      <c r="T11" s="52">
        <f>0.65*Table1345[[#This Row],[Health PiN]]</f>
        <v>69898.309864370822</v>
      </c>
      <c r="U11" s="74">
        <v>32153.222537610578</v>
      </c>
      <c r="V11" s="52">
        <v>37745.087326760244</v>
      </c>
      <c r="W11" s="52">
        <f>Table1345[[#This Row],[Nutrition Target]]</f>
        <v>40151.376795217999</v>
      </c>
      <c r="X11" s="52"/>
      <c r="Y11" s="52"/>
      <c r="Z11" s="52"/>
      <c r="AA11" s="52">
        <f>Table1345[[#This Row],[Shelter/NFIs Target]]</f>
        <v>22000</v>
      </c>
      <c r="AB11" s="52">
        <v>3156</v>
      </c>
      <c r="AC11" s="52">
        <v>3444</v>
      </c>
      <c r="AD11" s="52">
        <v>7776</v>
      </c>
      <c r="AE11" s="52">
        <v>8481</v>
      </c>
      <c r="AF11" s="52">
        <v>1142.8499999999999</v>
      </c>
      <c r="AG11" s="66">
        <f>Table1345[[#This Row],[WASH Targets]]</f>
        <v>24439.968484045738</v>
      </c>
      <c r="AH11" s="52">
        <v>11213.057540480186</v>
      </c>
      <c r="AI11" s="52">
        <v>13226.910943565555</v>
      </c>
      <c r="AJ11" s="52">
        <v>14576</v>
      </c>
      <c r="AK11" s="52">
        <v>7756</v>
      </c>
      <c r="AL11" s="52">
        <v>6820</v>
      </c>
      <c r="AM11" s="84"/>
      <c r="AN11"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110133.8489635</v>
      </c>
      <c r="AQ11" s="66">
        <f>Table13611[[#This Row],[Overall Intersectorial Final Target]]-(Table813[[#This Row],[IDPs]]+Table813[[#This Row],[Returnee Migrants]]+Table813[[#This Row],[Refugees]])</f>
        <v>86506.848963500001</v>
      </c>
      <c r="AR11" s="66">
        <f>Table8[[#This Row],[IDPs]]</f>
        <v>8000</v>
      </c>
      <c r="AS11" s="66">
        <f>Table8[[#This Row],[Returnee Migrants]]</f>
        <v>1051</v>
      </c>
      <c r="AT11" s="66">
        <f>Table13611[[#This Row],[Refugee Targets]]</f>
        <v>14576</v>
      </c>
      <c r="AV11" s="79">
        <f>Table9[[#This Row],[2020 Inter-cluster Response ]]</f>
        <v>128833</v>
      </c>
      <c r="AX11" s="79">
        <f>Table13611[[#This Row],[Overall Intersectorial PiN]]-Table13611[[#This Row],[Overall Intersectorial Final Target]]</f>
        <v>36943.151036499999</v>
      </c>
      <c r="AY11" s="4">
        <v>3</v>
      </c>
    </row>
    <row r="12" spans="1:51" x14ac:dyDescent="0.2">
      <c r="A12" s="3" t="s">
        <v>6</v>
      </c>
      <c r="B12" s="3" t="s">
        <v>14</v>
      </c>
      <c r="C12" s="223" t="s">
        <v>517</v>
      </c>
      <c r="D12" s="209">
        <f>Table136[[#This Row],[Overall Intersectorial Final PiN]]</f>
        <v>16744.541506104684</v>
      </c>
      <c r="E12" s="206">
        <f>Table1345[[#This Row],[CCCM_Target]]</f>
        <v>0</v>
      </c>
      <c r="F12" s="52"/>
      <c r="G12" s="52"/>
      <c r="H12" s="74">
        <v>0</v>
      </c>
      <c r="I12" s="52">
        <v>0</v>
      </c>
      <c r="J12" s="52">
        <v>0</v>
      </c>
      <c r="K12" s="74">
        <f>Table1345[[#This Row],[Education Target]]</f>
        <v>0</v>
      </c>
      <c r="L12" s="74">
        <v>0</v>
      </c>
      <c r="M12" s="74">
        <v>0</v>
      </c>
      <c r="N12" s="52">
        <f>Table1345[[#This Row],[FSC Target]]</f>
        <v>14500</v>
      </c>
      <c r="O12" s="52"/>
      <c r="P12" s="52"/>
      <c r="Q12" s="51">
        <v>2002</v>
      </c>
      <c r="R12" s="213">
        <v>520.52</v>
      </c>
      <c r="S12" s="52">
        <v>1481.48</v>
      </c>
      <c r="T12" s="52">
        <f>0.65*Table1345[[#This Row],[Health PiN]]</f>
        <v>0</v>
      </c>
      <c r="U12" s="74"/>
      <c r="V12" s="52"/>
      <c r="W12" s="52">
        <f>Table1345[[#This Row],[Nutrition Target]]</f>
        <v>3256.3208364224756</v>
      </c>
      <c r="X12" s="52"/>
      <c r="Y12" s="52"/>
      <c r="Z12" s="52"/>
      <c r="AA12" s="52">
        <f>Table1345[[#This Row],[Shelter/NFIs Target]]</f>
        <v>0</v>
      </c>
      <c r="AB12" s="52"/>
      <c r="AC12" s="52"/>
      <c r="AD12" s="52"/>
      <c r="AE12" s="52"/>
      <c r="AF12" s="52"/>
      <c r="AG12" s="66">
        <f>Table1345[[#This Row],[WASH Targets]]</f>
        <v>9049.4397110198079</v>
      </c>
      <c r="AH12" s="52">
        <v>4151.8829394158874</v>
      </c>
      <c r="AI12" s="52">
        <v>4897.5567716039204</v>
      </c>
      <c r="AJ12" s="52"/>
      <c r="AK12" s="52"/>
      <c r="AL12" s="52"/>
      <c r="AM12" s="84"/>
      <c r="AN12"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14500</v>
      </c>
      <c r="AQ12" s="66">
        <f>Table13611[[#This Row],[Overall Intersectorial Final Target]]-(Table813[[#This Row],[IDPs]]+Table813[[#This Row],[Returnee Migrants]]+Table813[[#This Row],[Refugees]])</f>
        <v>14500</v>
      </c>
      <c r="AR12" s="66">
        <f>Table8[[#This Row],[IDPs]]</f>
        <v>0</v>
      </c>
      <c r="AS12" s="66">
        <f>Table8[[#This Row],[Returnee Migrants]]</f>
        <v>0</v>
      </c>
      <c r="AT12" s="66">
        <f>Table13611[[#This Row],[Refugee Targets]]</f>
        <v>0</v>
      </c>
      <c r="AV12" s="79">
        <f>Table9[[#This Row],[2020 Inter-cluster Response ]]</f>
        <v>0</v>
      </c>
      <c r="AX12" s="79">
        <f>Table13611[[#This Row],[Overall Intersectorial PiN]]-Table13611[[#This Row],[Overall Intersectorial Final Target]]</f>
        <v>2244.5415061046842</v>
      </c>
      <c r="AY12" s="4">
        <v>3</v>
      </c>
    </row>
    <row r="13" spans="1:51" x14ac:dyDescent="0.2">
      <c r="A13" s="3" t="s">
        <v>6</v>
      </c>
      <c r="B13" s="3" t="s">
        <v>9</v>
      </c>
      <c r="C13" s="223" t="s">
        <v>518</v>
      </c>
      <c r="D13" s="209">
        <f>Table136[[#This Row],[Overall Intersectorial Final PiN]]</f>
        <v>95454.214548085292</v>
      </c>
      <c r="E13" s="206">
        <f>Table1345[[#This Row],[CCCM_Target]]</f>
        <v>0</v>
      </c>
      <c r="F13" s="52"/>
      <c r="G13" s="52"/>
      <c r="H13" s="74">
        <v>3872.7183828988414</v>
      </c>
      <c r="I13" s="52">
        <v>1355.4514340145945</v>
      </c>
      <c r="J13" s="52">
        <v>2517.2669488842471</v>
      </c>
      <c r="K13" s="74">
        <f>Table1345[[#This Row],[Education Target]]</f>
        <v>0</v>
      </c>
      <c r="L13" s="74">
        <v>0</v>
      </c>
      <c r="M13" s="74">
        <v>0</v>
      </c>
      <c r="N13" s="52">
        <f>Table1345[[#This Row],[FSC Target]]</f>
        <v>85377.64383999999</v>
      </c>
      <c r="O13" s="52"/>
      <c r="P13" s="52"/>
      <c r="Q13" s="51">
        <v>27178</v>
      </c>
      <c r="R13" s="213">
        <v>7274</v>
      </c>
      <c r="S13" s="52">
        <v>19904</v>
      </c>
      <c r="T13" s="52">
        <f>0.65*Table1345[[#This Row],[Health PiN]]</f>
        <v>54600</v>
      </c>
      <c r="U13" s="74">
        <v>25116</v>
      </c>
      <c r="V13" s="52">
        <v>29484.000000000004</v>
      </c>
      <c r="W13" s="52">
        <f>Table1345[[#This Row],[Nutrition Target]]</f>
        <v>36590.782243432695</v>
      </c>
      <c r="X13" s="52">
        <v>11963.59489002669</v>
      </c>
      <c r="Y13" s="52">
        <v>13490.862322796056</v>
      </c>
      <c r="Z13" s="52">
        <v>22272.650061219905</v>
      </c>
      <c r="AA13" s="52">
        <f>Table1345[[#This Row],[Shelter/NFIs Target]]</f>
        <v>3000</v>
      </c>
      <c r="AB13" s="52">
        <v>402</v>
      </c>
      <c r="AC13" s="52">
        <v>438</v>
      </c>
      <c r="AD13" s="52">
        <v>971</v>
      </c>
      <c r="AE13" s="52">
        <v>1055</v>
      </c>
      <c r="AF13" s="52">
        <v>134</v>
      </c>
      <c r="AG13" s="66">
        <f>Table1345[[#This Row],[WASH Targets]]</f>
        <v>0</v>
      </c>
      <c r="AH13" s="52">
        <v>0</v>
      </c>
      <c r="AI13" s="52">
        <v>0</v>
      </c>
      <c r="AJ13" s="52"/>
      <c r="AK13" s="52"/>
      <c r="AL13" s="52"/>
      <c r="AM13" s="84"/>
      <c r="AN13"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85377.64383999999</v>
      </c>
      <c r="AQ13" s="66">
        <f>Table13611[[#This Row],[Overall Intersectorial Final Target]]-(Table813[[#This Row],[IDPs]]+Table813[[#This Row],[Returnee Migrants]]+Table813[[#This Row],[Refugees]])</f>
        <v>85377.64383999999</v>
      </c>
      <c r="AR13" s="66">
        <f>Table8[[#This Row],[IDPs]]</f>
        <v>0</v>
      </c>
      <c r="AS13" s="66">
        <f>Table8[[#This Row],[Returnee Migrants]]</f>
        <v>0</v>
      </c>
      <c r="AT13" s="66">
        <f>Table13611[[#This Row],[Refugee Targets]]</f>
        <v>0</v>
      </c>
      <c r="AV13" s="79">
        <f>Table9[[#This Row],[2020 Inter-cluster Response ]]</f>
        <v>50227</v>
      </c>
      <c r="AX13" s="79">
        <f>Table13611[[#This Row],[Overall Intersectorial PiN]]-Table13611[[#This Row],[Overall Intersectorial Final Target]]</f>
        <v>10076.570708085303</v>
      </c>
      <c r="AY13" s="4">
        <v>3</v>
      </c>
    </row>
    <row r="14" spans="1:51" x14ac:dyDescent="0.2">
      <c r="A14" s="3" t="s">
        <v>6</v>
      </c>
      <c r="B14" s="3" t="s">
        <v>88</v>
      </c>
      <c r="C14" s="223" t="s">
        <v>518</v>
      </c>
      <c r="D14" s="209">
        <f>Table136[[#This Row],[Overall Intersectorial Final PiN]]</f>
        <v>183747.08477786818</v>
      </c>
      <c r="E14" s="206">
        <f>Table1345[[#This Row],[CCCM_Target]]</f>
        <v>0</v>
      </c>
      <c r="F14" s="52"/>
      <c r="G14" s="52"/>
      <c r="H14" s="74">
        <v>4982.6375272959995</v>
      </c>
      <c r="I14" s="52">
        <v>1743.9231345535998</v>
      </c>
      <c r="J14" s="52">
        <v>3238.7143927423999</v>
      </c>
      <c r="K14" s="74">
        <f>Table1345[[#This Row],[Education Target]]</f>
        <v>0</v>
      </c>
      <c r="L14" s="74">
        <v>44224.29</v>
      </c>
      <c r="M14" s="74">
        <v>45117.71</v>
      </c>
      <c r="N14" s="52">
        <f>Table1345[[#This Row],[FSC Target]]</f>
        <v>98607.955199999997</v>
      </c>
      <c r="O14" s="52"/>
      <c r="P14" s="52"/>
      <c r="Q14" s="51">
        <v>28442</v>
      </c>
      <c r="R14" s="213">
        <v>6664.2</v>
      </c>
      <c r="S14" s="52">
        <v>21777.8</v>
      </c>
      <c r="T14" s="52">
        <f>0.65*Table1345[[#This Row],[Health PiN]]</f>
        <v>119435.60510561432</v>
      </c>
      <c r="U14" s="74">
        <v>54940.378348582592</v>
      </c>
      <c r="V14" s="52">
        <v>64495.226757031734</v>
      </c>
      <c r="W14" s="52">
        <f>Table1345[[#This Row],[Nutrition Target]]</f>
        <v>34752.698634320805</v>
      </c>
      <c r="X14" s="52">
        <v>11296.035783804226</v>
      </c>
      <c r="Y14" s="52">
        <v>12738.082905140935</v>
      </c>
      <c r="Z14" s="52">
        <v>21437.159890751289</v>
      </c>
      <c r="AA14" s="52">
        <f>Table1345[[#This Row],[Shelter/NFIs Target]]</f>
        <v>2500</v>
      </c>
      <c r="AB14" s="52">
        <v>330</v>
      </c>
      <c r="AC14" s="52">
        <v>360</v>
      </c>
      <c r="AD14" s="52">
        <v>815</v>
      </c>
      <c r="AE14" s="52">
        <v>885</v>
      </c>
      <c r="AF14" s="52">
        <v>110</v>
      </c>
      <c r="AG14" s="66">
        <f>Table1345[[#This Row],[WASH Targets]]</f>
        <v>0</v>
      </c>
      <c r="AH14" s="52">
        <v>0</v>
      </c>
      <c r="AI14" s="52">
        <v>0</v>
      </c>
      <c r="AJ14" s="52"/>
      <c r="AK14" s="52"/>
      <c r="AL14" s="52"/>
      <c r="AM14" s="84"/>
      <c r="AN14"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119435.60510561432</v>
      </c>
      <c r="AQ14" s="66">
        <f>Table13611[[#This Row],[Overall Intersectorial Final Target]]-(Table813[[#This Row],[IDPs]]+Table813[[#This Row],[Returnee Migrants]]+Table813[[#This Row],[Refugees]])</f>
        <v>119435.60510561432</v>
      </c>
      <c r="AR14" s="66">
        <f>Table8[[#This Row],[IDPs]]</f>
        <v>0</v>
      </c>
      <c r="AS14" s="66">
        <f>Table8[[#This Row],[Returnee Migrants]]</f>
        <v>0</v>
      </c>
      <c r="AT14" s="66">
        <f>Table13611[[#This Row],[Refugee Targets]]</f>
        <v>0</v>
      </c>
      <c r="AV14" s="79">
        <f>Table9[[#This Row],[2020 Inter-cluster Response ]]</f>
        <v>191936</v>
      </c>
      <c r="AX14" s="79">
        <f>Table13611[[#This Row],[Overall Intersectorial PiN]]-Table13611[[#This Row],[Overall Intersectorial Final Target]]</f>
        <v>64311.479672253859</v>
      </c>
      <c r="AY14" s="4">
        <v>4</v>
      </c>
    </row>
    <row r="15" spans="1:51" x14ac:dyDescent="0.2">
      <c r="A15" s="3" t="s">
        <v>6</v>
      </c>
      <c r="B15" s="3" t="s">
        <v>12</v>
      </c>
      <c r="C15" s="223" t="s">
        <v>517</v>
      </c>
      <c r="D15" s="209">
        <f>Table136[[#This Row],[Overall Intersectorial Final PiN]]</f>
        <v>136439.44555469762</v>
      </c>
      <c r="E15" s="206">
        <f>Table1345[[#This Row],[CCCM_Target]]</f>
        <v>0</v>
      </c>
      <c r="F15" s="52"/>
      <c r="G15" s="52"/>
      <c r="H15" s="74">
        <v>0</v>
      </c>
      <c r="I15" s="52">
        <v>0</v>
      </c>
      <c r="J15" s="52">
        <v>0</v>
      </c>
      <c r="K15" s="74">
        <f>Table1345[[#This Row],[Education Target]]</f>
        <v>0</v>
      </c>
      <c r="L15" s="74">
        <v>0</v>
      </c>
      <c r="M15" s="74">
        <v>0</v>
      </c>
      <c r="N15" s="52">
        <f>Table1345[[#This Row],[FSC Target]]</f>
        <v>41000</v>
      </c>
      <c r="O15" s="52"/>
      <c r="P15" s="52"/>
      <c r="Q15" s="51">
        <v>25822</v>
      </c>
      <c r="R15" s="213">
        <v>6566.2000000000007</v>
      </c>
      <c r="S15" s="52">
        <v>19255.8</v>
      </c>
      <c r="T15" s="52">
        <f>0.65*Table1345[[#This Row],[Health PiN]]</f>
        <v>56422.510946130496</v>
      </c>
      <c r="U15" s="74">
        <v>25954.355035220029</v>
      </c>
      <c r="V15" s="52">
        <v>30468.155910910471</v>
      </c>
      <c r="W15" s="52">
        <f>Table1345[[#This Row],[Nutrition Target]]</f>
        <v>0</v>
      </c>
      <c r="X15" s="52"/>
      <c r="Y15" s="52"/>
      <c r="Z15" s="52"/>
      <c r="AA15" s="52">
        <f>Table1345[[#This Row],[Shelter/NFIs Target]]</f>
        <v>0</v>
      </c>
      <c r="AB15" s="52"/>
      <c r="AC15" s="52"/>
      <c r="AD15" s="52"/>
      <c r="AE15" s="52"/>
      <c r="AF15" s="52"/>
      <c r="AG15" s="66">
        <f>Table1345[[#This Row],[WASH Targets]]</f>
        <v>0</v>
      </c>
      <c r="AH15" s="52">
        <v>0</v>
      </c>
      <c r="AI15" s="52">
        <v>0</v>
      </c>
      <c r="AJ15" s="52"/>
      <c r="AK15" s="52"/>
      <c r="AL15" s="52"/>
      <c r="AM15" s="84"/>
      <c r="AN15"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56422.510946130496</v>
      </c>
      <c r="AQ15" s="66">
        <f>Table13611[[#This Row],[Overall Intersectorial Final Target]]-(Table813[[#This Row],[IDPs]]+Table813[[#This Row],[Returnee Migrants]]+Table813[[#This Row],[Refugees]])</f>
        <v>56422.510946130496</v>
      </c>
      <c r="AR15" s="66">
        <f>Table8[[#This Row],[IDPs]]</f>
        <v>0</v>
      </c>
      <c r="AS15" s="66">
        <f>Table8[[#This Row],[Returnee Migrants]]</f>
        <v>0</v>
      </c>
      <c r="AT15" s="66">
        <f>Table13611[[#This Row],[Refugee Targets]]</f>
        <v>0</v>
      </c>
      <c r="AV15" s="79">
        <f>Table9[[#This Row],[2020 Inter-cluster Response ]]</f>
        <v>15501</v>
      </c>
      <c r="AX15" s="79">
        <f>Table13611[[#This Row],[Overall Intersectorial PiN]]-Table13611[[#This Row],[Overall Intersectorial Final Target]]</f>
        <v>80016.934608567128</v>
      </c>
      <c r="AY15" s="4">
        <v>4</v>
      </c>
    </row>
    <row r="16" spans="1:51" x14ac:dyDescent="0.2">
      <c r="A16" s="3" t="s">
        <v>6</v>
      </c>
      <c r="B16" s="3" t="s">
        <v>10</v>
      </c>
      <c r="C16" s="223" t="s">
        <v>518</v>
      </c>
      <c r="D16" s="209">
        <f>Table136[[#This Row],[Overall Intersectorial Final PiN]]</f>
        <v>118290.46296794999</v>
      </c>
      <c r="E16" s="206">
        <f>Table1345[[#This Row],[CCCM_Target]]</f>
        <v>0</v>
      </c>
      <c r="F16" s="52"/>
      <c r="G16" s="52"/>
      <c r="H16" s="74">
        <v>0</v>
      </c>
      <c r="I16" s="52">
        <v>0</v>
      </c>
      <c r="J16" s="52">
        <v>0</v>
      </c>
      <c r="K16" s="74">
        <f>Table1345[[#This Row],[Education Target]]</f>
        <v>0</v>
      </c>
      <c r="L16" s="74">
        <v>0</v>
      </c>
      <c r="M16" s="74">
        <v>0</v>
      </c>
      <c r="N16" s="52">
        <f>Table1345[[#This Row],[FSC Target]]</f>
        <v>44166.476159999998</v>
      </c>
      <c r="O16" s="52"/>
      <c r="P16" s="52"/>
      <c r="Q16" s="51">
        <v>22460</v>
      </c>
      <c r="R16" s="213">
        <v>5751.8</v>
      </c>
      <c r="S16" s="52">
        <v>16708.2</v>
      </c>
      <c r="T16" s="52">
        <f>0.65*Table1345[[#This Row],[Health PiN]]</f>
        <v>76888.800929167497</v>
      </c>
      <c r="U16" s="74">
        <v>35368.848427417048</v>
      </c>
      <c r="V16" s="52">
        <v>41519.952501750449</v>
      </c>
      <c r="W16" s="52">
        <f>Table1345[[#This Row],[Nutrition Target]]</f>
        <v>21647.154723134852</v>
      </c>
      <c r="X16" s="52">
        <v>6931.0325268354163</v>
      </c>
      <c r="Y16" s="52">
        <v>7815.8451898356834</v>
      </c>
      <c r="Z16" s="52">
        <v>13800.554012927501</v>
      </c>
      <c r="AA16" s="52">
        <f>Table1345[[#This Row],[Shelter/NFIs Target]]</f>
        <v>555</v>
      </c>
      <c r="AB16" s="52">
        <v>73</v>
      </c>
      <c r="AC16" s="52">
        <v>80</v>
      </c>
      <c r="AD16" s="52">
        <v>179</v>
      </c>
      <c r="AE16" s="52">
        <v>197</v>
      </c>
      <c r="AF16" s="52">
        <v>26.45</v>
      </c>
      <c r="AG16" s="66">
        <f>Table1345[[#This Row],[WASH Targets]]</f>
        <v>0</v>
      </c>
      <c r="AH16" s="52">
        <v>0</v>
      </c>
      <c r="AI16" s="52">
        <v>0</v>
      </c>
      <c r="AJ16" s="52"/>
      <c r="AK16" s="52"/>
      <c r="AL16" s="52"/>
      <c r="AM16" s="84"/>
      <c r="AN16"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76888.800929167497</v>
      </c>
      <c r="AQ16" s="66">
        <f>Table13611[[#This Row],[Overall Intersectorial Final Target]]-(Table813[[#This Row],[IDPs]]+Table813[[#This Row],[Returnee Migrants]]+Table813[[#This Row],[Refugees]])</f>
        <v>76888.800929167497</v>
      </c>
      <c r="AR16" s="66">
        <f>Table8[[#This Row],[IDPs]]</f>
        <v>0</v>
      </c>
      <c r="AS16" s="66">
        <f>Table8[[#This Row],[Returnee Migrants]]</f>
        <v>0</v>
      </c>
      <c r="AT16" s="66">
        <f>Table13611[[#This Row],[Refugee Targets]]</f>
        <v>0</v>
      </c>
      <c r="AV16" s="79">
        <f>Table9[[#This Row],[2020 Inter-cluster Response ]]</f>
        <v>37617</v>
      </c>
      <c r="AX16" s="79">
        <f>Table13611[[#This Row],[Overall Intersectorial PiN]]-Table13611[[#This Row],[Overall Intersectorial Final Target]]</f>
        <v>41401.662038782495</v>
      </c>
      <c r="AY16" s="4">
        <v>4</v>
      </c>
    </row>
    <row r="17" spans="1:51" x14ac:dyDescent="0.2">
      <c r="A17" s="3" t="s">
        <v>6</v>
      </c>
      <c r="B17" s="3" t="s">
        <v>11</v>
      </c>
      <c r="C17" s="223" t="s">
        <v>518</v>
      </c>
      <c r="D17" s="209">
        <f>Table136[[#This Row],[Overall Intersectorial Final PiN]]</f>
        <v>48461</v>
      </c>
      <c r="E17" s="206">
        <f>Table1345[[#This Row],[CCCM_Target]]</f>
        <v>0</v>
      </c>
      <c r="F17" s="52"/>
      <c r="G17" s="52"/>
      <c r="H17" s="74">
        <v>0</v>
      </c>
      <c r="I17" s="52">
        <v>0</v>
      </c>
      <c r="J17" s="52">
        <v>0</v>
      </c>
      <c r="K17" s="74">
        <f>Table1345[[#This Row],[Education Target]]</f>
        <v>0</v>
      </c>
      <c r="L17" s="74">
        <v>0</v>
      </c>
      <c r="M17" s="74">
        <v>0</v>
      </c>
      <c r="N17" s="52">
        <f>Table1345[[#This Row],[FSC Target]]</f>
        <v>48461</v>
      </c>
      <c r="O17" s="52"/>
      <c r="P17" s="52"/>
      <c r="Q17" s="51">
        <v>13176</v>
      </c>
      <c r="R17" s="213">
        <v>1473</v>
      </c>
      <c r="S17" s="52">
        <v>11703</v>
      </c>
      <c r="T17" s="52">
        <f>0.65*Table1345[[#This Row],[Health PiN]]</f>
        <v>28842.12847882236</v>
      </c>
      <c r="U17" s="74">
        <v>13267.379100258286</v>
      </c>
      <c r="V17" s="52">
        <v>15574.749378564076</v>
      </c>
      <c r="W17" s="52">
        <f>Table1345[[#This Row],[Nutrition Target]]</f>
        <v>15317.388847522276</v>
      </c>
      <c r="X17" s="52"/>
      <c r="Y17" s="52"/>
      <c r="Z17" s="52"/>
      <c r="AA17" s="52">
        <f>Table1345[[#This Row],[Shelter/NFIs Target]]</f>
        <v>0</v>
      </c>
      <c r="AB17" s="52"/>
      <c r="AC17" s="52"/>
      <c r="AD17" s="52"/>
      <c r="AE17" s="52"/>
      <c r="AF17" s="52"/>
      <c r="AG17" s="66">
        <f>Table1345[[#This Row],[WASH Targets]]</f>
        <v>0</v>
      </c>
      <c r="AH17" s="52">
        <v>0</v>
      </c>
      <c r="AI17" s="52">
        <v>0</v>
      </c>
      <c r="AJ17" s="52"/>
      <c r="AK17" s="52"/>
      <c r="AL17" s="52"/>
      <c r="AM17" s="84"/>
      <c r="AN17"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48461</v>
      </c>
      <c r="AQ17" s="66">
        <f>Table13611[[#This Row],[Overall Intersectorial Final Target]]-(Table813[[#This Row],[IDPs]]+Table813[[#This Row],[Returnee Migrants]]+Table813[[#This Row],[Refugees]])</f>
        <v>48461</v>
      </c>
      <c r="AR17" s="66">
        <f>Table8[[#This Row],[IDPs]]</f>
        <v>0</v>
      </c>
      <c r="AS17" s="66">
        <f>Table8[[#This Row],[Returnee Migrants]]</f>
        <v>0</v>
      </c>
      <c r="AT17" s="66">
        <f>Table13611[[#This Row],[Refugee Targets]]</f>
        <v>0</v>
      </c>
      <c r="AV17" s="79">
        <f>Table9[[#This Row],[2020 Inter-cluster Response ]]</f>
        <v>42332</v>
      </c>
      <c r="AX17" s="257">
        <f>Table13611[[#This Row],[Overall Intersectorial PiN]]-Table13611[[#This Row],[Overall Intersectorial Final Target]]</f>
        <v>0</v>
      </c>
      <c r="AY17" s="4">
        <v>3</v>
      </c>
    </row>
    <row r="18" spans="1:51" x14ac:dyDescent="0.2">
      <c r="A18" s="3" t="s">
        <v>6</v>
      </c>
      <c r="B18" s="3" t="s">
        <v>13</v>
      </c>
      <c r="C18" s="223" t="s">
        <v>517</v>
      </c>
      <c r="D18" s="209">
        <f>Table136[[#This Row],[Overall Intersectorial Final PiN]]</f>
        <v>15459.109486160636</v>
      </c>
      <c r="E18" s="206">
        <f>Table1345[[#This Row],[CCCM_Target]]</f>
        <v>75</v>
      </c>
      <c r="F18" s="52">
        <v>10.8</v>
      </c>
      <c r="G18" s="52">
        <v>11.7</v>
      </c>
      <c r="H18" s="74">
        <v>0</v>
      </c>
      <c r="I18" s="52">
        <v>0</v>
      </c>
      <c r="J18" s="52">
        <v>0</v>
      </c>
      <c r="K18" s="74">
        <f>Table1345[[#This Row],[Education Target]]</f>
        <v>0</v>
      </c>
      <c r="L18" s="74">
        <v>0</v>
      </c>
      <c r="M18" s="74">
        <v>0</v>
      </c>
      <c r="N18" s="52">
        <f>Table1345[[#This Row],[FSC Target]]</f>
        <v>10000</v>
      </c>
      <c r="O18" s="52"/>
      <c r="P18" s="52"/>
      <c r="Q18" s="51">
        <v>6500</v>
      </c>
      <c r="R18" s="213">
        <v>1020</v>
      </c>
      <c r="S18" s="52">
        <v>5480</v>
      </c>
      <c r="T18" s="52">
        <f>0.65*Table1345[[#This Row],[Health PiN]]</f>
        <v>0</v>
      </c>
      <c r="U18" s="74"/>
      <c r="V18" s="52"/>
      <c r="W18" s="52">
        <f>Table1345[[#This Row],[Nutrition Target]]</f>
        <v>0</v>
      </c>
      <c r="X18" s="52"/>
      <c r="Y18" s="52"/>
      <c r="Z18" s="52"/>
      <c r="AA18" s="52">
        <f>Table1345[[#This Row],[Shelter/NFIs Target]]</f>
        <v>0</v>
      </c>
      <c r="AB18" s="52"/>
      <c r="AC18" s="52"/>
      <c r="AD18" s="52"/>
      <c r="AE18" s="52"/>
      <c r="AF18" s="52"/>
      <c r="AG18" s="66">
        <f>Table1345[[#This Row],[WASH Targets]]</f>
        <v>0</v>
      </c>
      <c r="AH18" s="52">
        <v>0</v>
      </c>
      <c r="AI18" s="52">
        <v>0</v>
      </c>
      <c r="AJ18" s="52"/>
      <c r="AK18" s="52"/>
      <c r="AL18" s="52"/>
      <c r="AM18" s="84"/>
      <c r="AN18"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10000</v>
      </c>
      <c r="AQ18" s="66">
        <f>Table13611[[#This Row],[Overall Intersectorial Final Target]]-(Table813[[#This Row],[IDPs]]+Table813[[#This Row],[Returnee Migrants]]+Table813[[#This Row],[Refugees]])</f>
        <v>10000</v>
      </c>
      <c r="AR18" s="66">
        <f>Table8[[#This Row],[IDPs]]</f>
        <v>0</v>
      </c>
      <c r="AS18" s="66">
        <f>Table8[[#This Row],[Returnee Migrants]]</f>
        <v>0</v>
      </c>
      <c r="AT18" s="66">
        <f>Table13611[[#This Row],[Refugee Targets]]</f>
        <v>0</v>
      </c>
      <c r="AV18" s="79">
        <f>Table9[[#This Row],[2020 Inter-cluster Response ]]</f>
        <v>4000</v>
      </c>
      <c r="AX18" s="79">
        <f>Table13611[[#This Row],[Overall Intersectorial PiN]]-Table13611[[#This Row],[Overall Intersectorial Final Target]]</f>
        <v>5459.1094861606362</v>
      </c>
      <c r="AY18" s="4">
        <v>3</v>
      </c>
    </row>
    <row r="19" spans="1:51" x14ac:dyDescent="0.2">
      <c r="A19" s="3" t="s">
        <v>15</v>
      </c>
      <c r="B19" s="3" t="s">
        <v>90</v>
      </c>
      <c r="C19" s="223" t="s">
        <v>518</v>
      </c>
      <c r="D19" s="209">
        <f>Table136[[#This Row],[Overall Intersectorial Final PiN]]</f>
        <v>47933</v>
      </c>
      <c r="E19" s="206">
        <f>Table1345[[#This Row],[CCCM_Target]]</f>
        <v>0</v>
      </c>
      <c r="F19" s="52"/>
      <c r="G19" s="52"/>
      <c r="H19" s="74">
        <v>2167.121514630714</v>
      </c>
      <c r="I19" s="52">
        <v>758.49253012074985</v>
      </c>
      <c r="J19" s="52">
        <v>1408.6289845099641</v>
      </c>
      <c r="K19" s="74">
        <f>Table1345[[#This Row],[Education Target]]</f>
        <v>0</v>
      </c>
      <c r="L19" s="74">
        <v>15804.36</v>
      </c>
      <c r="M19" s="74">
        <v>16123.64</v>
      </c>
      <c r="N19" s="52">
        <f>Table1345[[#This Row],[FSC Target]]</f>
        <v>45737.417600000001</v>
      </c>
      <c r="O19" s="52"/>
      <c r="P19" s="52"/>
      <c r="Q19" s="51">
        <v>0</v>
      </c>
      <c r="R19" s="213">
        <v>0</v>
      </c>
      <c r="S19" s="52">
        <v>0</v>
      </c>
      <c r="T19" s="52">
        <f>0.65*Table1345[[#This Row],[Health PiN]]</f>
        <v>31048.52758015479</v>
      </c>
      <c r="U19" s="74">
        <v>14282.322686871204</v>
      </c>
      <c r="V19" s="52">
        <v>16766.20489328359</v>
      </c>
      <c r="W19" s="52">
        <f>Table1345[[#This Row],[Nutrition Target]]</f>
        <v>0</v>
      </c>
      <c r="X19" s="52"/>
      <c r="Y19" s="52"/>
      <c r="Z19" s="52"/>
      <c r="AA19" s="52">
        <f>Table1345[[#This Row],[Shelter/NFIs Target]]</f>
        <v>0</v>
      </c>
      <c r="AB19" s="52"/>
      <c r="AC19" s="52"/>
      <c r="AD19" s="52"/>
      <c r="AE19" s="52"/>
      <c r="AF19" s="52"/>
      <c r="AG19" s="66">
        <f>Table1345[[#This Row],[WASH Targets]]</f>
        <v>0</v>
      </c>
      <c r="AH19" s="52">
        <v>0</v>
      </c>
      <c r="AI19" s="52">
        <v>0</v>
      </c>
      <c r="AJ19" s="52"/>
      <c r="AK19" s="52"/>
      <c r="AL19" s="52"/>
      <c r="AM19" s="84"/>
      <c r="AN19"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45737.417600000001</v>
      </c>
      <c r="AQ19" s="66">
        <f>Table13611[[#This Row],[Overall Intersectorial Final Target]]-(Table813[[#This Row],[IDPs]]+Table813[[#This Row],[Returnee Migrants]]+Table813[[#This Row],[Refugees]])</f>
        <v>45512.417600000001</v>
      </c>
      <c r="AR19" s="66">
        <f>Table8[[#This Row],[IDPs]]</f>
        <v>0</v>
      </c>
      <c r="AS19" s="66">
        <f>Table8[[#This Row],[Returnee Migrants]]</f>
        <v>225</v>
      </c>
      <c r="AT19" s="66">
        <f>Table13611[[#This Row],[Refugee Targets]]</f>
        <v>0</v>
      </c>
      <c r="AV19" s="79">
        <f>Table9[[#This Row],[2020 Inter-cluster Response ]]</f>
        <v>32541</v>
      </c>
      <c r="AX19" s="79">
        <f>Table13611[[#This Row],[Overall Intersectorial PiN]]-Table13611[[#This Row],[Overall Intersectorial Final Target]]</f>
        <v>2195.5823999999993</v>
      </c>
      <c r="AY19" s="4">
        <v>4</v>
      </c>
    </row>
    <row r="20" spans="1:51" x14ac:dyDescent="0.2">
      <c r="A20" s="3" t="s">
        <v>15</v>
      </c>
      <c r="B20" s="3" t="s">
        <v>24</v>
      </c>
      <c r="C20" s="223" t="s">
        <v>517</v>
      </c>
      <c r="D20" s="209">
        <f>Table136[[#This Row],[Overall Intersectorial Final PiN]]</f>
        <v>24239.253159699478</v>
      </c>
      <c r="E20" s="206">
        <f>Table1345[[#This Row],[CCCM_Target]]</f>
        <v>0</v>
      </c>
      <c r="F20" s="52"/>
      <c r="G20" s="52"/>
      <c r="H20" s="74">
        <v>0</v>
      </c>
      <c r="I20" s="52">
        <v>0</v>
      </c>
      <c r="J20" s="52">
        <v>0</v>
      </c>
      <c r="K20" s="74">
        <f>Table1345[[#This Row],[Education Target]]</f>
        <v>0</v>
      </c>
      <c r="L20" s="74">
        <v>0</v>
      </c>
      <c r="M20" s="74">
        <v>0</v>
      </c>
      <c r="N20" s="52">
        <f>Table1345[[#This Row],[FSC Target]]</f>
        <v>20000</v>
      </c>
      <c r="O20" s="52"/>
      <c r="P20" s="52"/>
      <c r="Q20" s="51">
        <v>0</v>
      </c>
      <c r="R20" s="213">
        <v>0</v>
      </c>
      <c r="S20" s="52">
        <v>0</v>
      </c>
      <c r="T20" s="52">
        <f>0.65*Table1345[[#This Row],[Health PiN]]</f>
        <v>0</v>
      </c>
      <c r="U20" s="74">
        <v>1660.5053102939648</v>
      </c>
      <c r="V20" s="52">
        <v>1949.2888425190022</v>
      </c>
      <c r="W20" s="52">
        <f>Table1345[[#This Row],[Nutrition Target]]</f>
        <v>0</v>
      </c>
      <c r="X20" s="52"/>
      <c r="Y20" s="52"/>
      <c r="Z20" s="52"/>
      <c r="AA20" s="52">
        <f>Table1345[[#This Row],[Shelter/NFIs Target]]</f>
        <v>0</v>
      </c>
      <c r="AB20" s="52"/>
      <c r="AC20" s="52"/>
      <c r="AD20" s="52"/>
      <c r="AE20" s="52"/>
      <c r="AF20" s="52"/>
      <c r="AG20" s="66">
        <f>Table1345[[#This Row],[WASH Targets]]</f>
        <v>0</v>
      </c>
      <c r="AH20" s="52">
        <v>0</v>
      </c>
      <c r="AI20" s="52">
        <v>0</v>
      </c>
      <c r="AJ20" s="52"/>
      <c r="AK20" s="52"/>
      <c r="AL20" s="52"/>
      <c r="AM20" s="84"/>
      <c r="AN20"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20000</v>
      </c>
      <c r="AQ20" s="66">
        <f>Table13611[[#This Row],[Overall Intersectorial Final Target]]-(Table813[[#This Row],[IDPs]]+Table813[[#This Row],[Returnee Migrants]]+Table813[[#This Row],[Refugees]])</f>
        <v>20000</v>
      </c>
      <c r="AR20" s="66">
        <f>Table8[[#This Row],[IDPs]]</f>
        <v>0</v>
      </c>
      <c r="AS20" s="66">
        <f>Table8[[#This Row],[Returnee Migrants]]</f>
        <v>0</v>
      </c>
      <c r="AT20" s="66">
        <f>Table13611[[#This Row],[Refugee Targets]]</f>
        <v>0</v>
      </c>
      <c r="AV20" s="79">
        <f>Table9[[#This Row],[2020 Inter-cluster Response ]]</f>
        <v>0</v>
      </c>
      <c r="AX20" s="79">
        <f>Table13611[[#This Row],[Overall Intersectorial PiN]]-Table13611[[#This Row],[Overall Intersectorial Final Target]]</f>
        <v>4239.2531596994777</v>
      </c>
      <c r="AY20" s="4">
        <v>3</v>
      </c>
    </row>
    <row r="21" spans="1:51" x14ac:dyDescent="0.2">
      <c r="A21" s="3" t="s">
        <v>15</v>
      </c>
      <c r="B21" s="3" t="s">
        <v>16</v>
      </c>
      <c r="C21" s="223" t="s">
        <v>518</v>
      </c>
      <c r="D21" s="209">
        <f>Table136[[#This Row],[Overall Intersectorial Final PiN]]</f>
        <v>46840.762677263738</v>
      </c>
      <c r="E21" s="206">
        <f>Table1345[[#This Row],[CCCM_Target]]</f>
        <v>0</v>
      </c>
      <c r="F21" s="52"/>
      <c r="G21" s="52"/>
      <c r="H21" s="74">
        <v>2523.8386234628006</v>
      </c>
      <c r="I21" s="52">
        <v>883.34351821198015</v>
      </c>
      <c r="J21" s="52">
        <v>1640.4951052508204</v>
      </c>
      <c r="K21" s="74">
        <f>Table1345[[#This Row],[Education Target]]</f>
        <v>28102</v>
      </c>
      <c r="L21" s="74">
        <v>13910.49</v>
      </c>
      <c r="M21" s="74">
        <v>14191.51</v>
      </c>
      <c r="N21" s="52">
        <f>Table1345[[#This Row],[FSC Target]]</f>
        <v>11302.0918695</v>
      </c>
      <c r="O21" s="52"/>
      <c r="P21" s="52"/>
      <c r="Q21" s="51">
        <v>0</v>
      </c>
      <c r="R21" s="213">
        <v>0</v>
      </c>
      <c r="S21" s="52">
        <v>0</v>
      </c>
      <c r="T21" s="52">
        <f>0.65*Table1345[[#This Row],[Health PiN]]</f>
        <v>30446.495740221431</v>
      </c>
      <c r="U21" s="74">
        <v>14005.388040501859</v>
      </c>
      <c r="V21" s="52">
        <v>16441.107699719574</v>
      </c>
      <c r="W21" s="52">
        <f>Table1345[[#This Row],[Nutrition Target]]</f>
        <v>0</v>
      </c>
      <c r="X21" s="52"/>
      <c r="Y21" s="52"/>
      <c r="Z21" s="52"/>
      <c r="AA21" s="52">
        <f>Table1345[[#This Row],[Shelter/NFIs Target]]</f>
        <v>0</v>
      </c>
      <c r="AB21" s="52"/>
      <c r="AC21" s="52"/>
      <c r="AD21" s="52"/>
      <c r="AE21" s="52"/>
      <c r="AF21" s="52"/>
      <c r="AG21" s="66">
        <f>Table1345[[#This Row],[WASH Targets]]</f>
        <v>29509.680486676156</v>
      </c>
      <c r="AH21" s="52">
        <v>13539.041407287021</v>
      </c>
      <c r="AI21" s="52">
        <v>15970.639079389137</v>
      </c>
      <c r="AJ21" s="52"/>
      <c r="AK21" s="52"/>
      <c r="AL21" s="52"/>
      <c r="AM21" s="84"/>
      <c r="AN21"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30446.495740221431</v>
      </c>
      <c r="AQ21" s="66">
        <f>Table13611[[#This Row],[Overall Intersectorial Final Target]]-(Table813[[#This Row],[IDPs]]+Table813[[#This Row],[Returnee Migrants]]+Table813[[#This Row],[Refugees]])</f>
        <v>30446.495740221431</v>
      </c>
      <c r="AR21" s="66">
        <f>Table8[[#This Row],[IDPs]]</f>
        <v>0</v>
      </c>
      <c r="AS21" s="66">
        <f>Table8[[#This Row],[Returnee Migrants]]</f>
        <v>0</v>
      </c>
      <c r="AT21" s="66">
        <f>Table13611[[#This Row],[Refugee Targets]]</f>
        <v>0</v>
      </c>
      <c r="AV21" s="79">
        <f>Table9[[#This Row],[2020 Inter-cluster Response ]]</f>
        <v>78192</v>
      </c>
      <c r="AX21" s="79">
        <f>Table13611[[#This Row],[Overall Intersectorial PiN]]-Table13611[[#This Row],[Overall Intersectorial Final Target]]</f>
        <v>16394.266937042306</v>
      </c>
      <c r="AY21" s="4">
        <v>4</v>
      </c>
    </row>
    <row r="22" spans="1:51" x14ac:dyDescent="0.2">
      <c r="A22" s="3" t="s">
        <v>15</v>
      </c>
      <c r="B22" s="3" t="s">
        <v>17</v>
      </c>
      <c r="C22" s="223" t="s">
        <v>518</v>
      </c>
      <c r="D22" s="209">
        <f>Table136[[#This Row],[Overall Intersectorial Final PiN]]</f>
        <v>47317.596918751951</v>
      </c>
      <c r="E22" s="206">
        <f>Table1345[[#This Row],[CCCM_Target]]</f>
        <v>0</v>
      </c>
      <c r="F22" s="52"/>
      <c r="G22" s="52"/>
      <c r="H22" s="74">
        <v>1414.7284134748386</v>
      </c>
      <c r="I22" s="52">
        <v>495.15494471619348</v>
      </c>
      <c r="J22" s="52">
        <v>919.57346875864516</v>
      </c>
      <c r="K22" s="74">
        <f>Table1345[[#This Row],[Education Target]]</f>
        <v>0</v>
      </c>
      <c r="L22" s="74">
        <v>9559.44</v>
      </c>
      <c r="M22" s="74">
        <v>9752.56</v>
      </c>
      <c r="N22" s="52">
        <f>Table1345[[#This Row],[FSC Target]]</f>
        <v>25682.065919999997</v>
      </c>
      <c r="O22" s="52"/>
      <c r="P22" s="52"/>
      <c r="Q22" s="51">
        <v>0</v>
      </c>
      <c r="R22" s="213">
        <v>0</v>
      </c>
      <c r="S22" s="52">
        <v>0</v>
      </c>
      <c r="T22" s="52">
        <f>0.65*Table1345[[#This Row],[Health PiN]]</f>
        <v>0</v>
      </c>
      <c r="U22" s="74"/>
      <c r="V22" s="52"/>
      <c r="W22" s="52">
        <f>Table1345[[#This Row],[Nutrition Target]]</f>
        <v>0</v>
      </c>
      <c r="X22" s="52"/>
      <c r="Y22" s="52"/>
      <c r="Z22" s="52"/>
      <c r="AA22" s="52">
        <f>Table1345[[#This Row],[Shelter/NFIs Target]]</f>
        <v>0</v>
      </c>
      <c r="AB22" s="52"/>
      <c r="AC22" s="52"/>
      <c r="AD22" s="52"/>
      <c r="AE22" s="52"/>
      <c r="AF22" s="52"/>
      <c r="AG22" s="66">
        <f>Table1345[[#This Row],[WASH Targets]]</f>
        <v>0</v>
      </c>
      <c r="AH22" s="52">
        <v>0</v>
      </c>
      <c r="AI22" s="52">
        <v>0</v>
      </c>
      <c r="AJ22" s="52"/>
      <c r="AK22" s="52"/>
      <c r="AL22" s="52"/>
      <c r="AM22" s="84"/>
      <c r="AN22"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25682.065919999997</v>
      </c>
      <c r="AQ22" s="66">
        <f>Table13611[[#This Row],[Overall Intersectorial Final Target]]-(Table813[[#This Row],[IDPs]]+Table813[[#This Row],[Returnee Migrants]]+Table813[[#This Row],[Refugees]])</f>
        <v>25682.065919999997</v>
      </c>
      <c r="AR22" s="66">
        <f>Table8[[#This Row],[IDPs]]</f>
        <v>0</v>
      </c>
      <c r="AS22" s="66">
        <f>Table8[[#This Row],[Returnee Migrants]]</f>
        <v>0</v>
      </c>
      <c r="AT22" s="66">
        <f>Table13611[[#This Row],[Refugee Targets]]</f>
        <v>0</v>
      </c>
      <c r="AV22" s="79">
        <f>Table9[[#This Row],[2020 Inter-cluster Response ]]</f>
        <v>23043</v>
      </c>
      <c r="AX22" s="79">
        <f>Table13611[[#This Row],[Overall Intersectorial PiN]]-Table13611[[#This Row],[Overall Intersectorial Final Target]]</f>
        <v>21635.530998751954</v>
      </c>
      <c r="AY22" s="4">
        <v>3</v>
      </c>
    </row>
    <row r="23" spans="1:51" x14ac:dyDescent="0.2">
      <c r="A23" s="3" t="s">
        <v>15</v>
      </c>
      <c r="B23" s="3" t="s">
        <v>18</v>
      </c>
      <c r="C23" s="223" t="s">
        <v>518</v>
      </c>
      <c r="D23" s="209">
        <f>Table136[[#This Row],[Overall Intersectorial Final PiN]]</f>
        <v>89362</v>
      </c>
      <c r="E23" s="206">
        <f>Table1345[[#This Row],[CCCM_Target]]</f>
        <v>0</v>
      </c>
      <c r="F23" s="52"/>
      <c r="G23" s="52"/>
      <c r="H23" s="74">
        <v>3827.9412807999997</v>
      </c>
      <c r="I23" s="52">
        <v>1339.7794482799998</v>
      </c>
      <c r="J23" s="52">
        <v>2488.1618325199997</v>
      </c>
      <c r="K23" s="74">
        <f>Table1345[[#This Row],[Education Target]]</f>
        <v>0</v>
      </c>
      <c r="L23" s="74">
        <v>0</v>
      </c>
      <c r="M23" s="74">
        <v>0</v>
      </c>
      <c r="N23" s="52">
        <f>Table1345[[#This Row],[FSC Target]]</f>
        <v>85268.709759999998</v>
      </c>
      <c r="O23" s="52"/>
      <c r="P23" s="52"/>
      <c r="Q23" s="51">
        <v>0</v>
      </c>
      <c r="R23" s="213">
        <v>0</v>
      </c>
      <c r="S23" s="52">
        <v>0</v>
      </c>
      <c r="T23" s="52">
        <f>0.65*Table1345[[#This Row],[Health PiN]]</f>
        <v>57884.815911220627</v>
      </c>
      <c r="U23" s="74">
        <v>26627.015319161488</v>
      </c>
      <c r="V23" s="52">
        <v>31257.800592059142</v>
      </c>
      <c r="W23" s="52">
        <f>Table1345[[#This Row],[Nutrition Target]]</f>
        <v>34137.199127130123</v>
      </c>
      <c r="X23" s="52"/>
      <c r="Y23" s="52"/>
      <c r="Z23" s="52"/>
      <c r="AA23" s="52">
        <f>Table1345[[#This Row],[Shelter/NFIs Target]]</f>
        <v>0</v>
      </c>
      <c r="AB23" s="52"/>
      <c r="AC23" s="52"/>
      <c r="AD23" s="52"/>
      <c r="AE23" s="52"/>
      <c r="AF23" s="52"/>
      <c r="AG23" s="66">
        <f>Table1345[[#This Row],[WASH Targets]]</f>
        <v>0</v>
      </c>
      <c r="AH23" s="52">
        <v>0</v>
      </c>
      <c r="AI23" s="52">
        <v>0</v>
      </c>
      <c r="AJ23" s="52"/>
      <c r="AK23" s="52"/>
      <c r="AL23" s="52"/>
      <c r="AM23" s="84"/>
      <c r="AN23"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85268.709759999998</v>
      </c>
      <c r="AQ23" s="66">
        <f>Table13611[[#This Row],[Overall Intersectorial Final Target]]-(Table813[[#This Row],[IDPs]]+Table813[[#This Row],[Returnee Migrants]]+Table813[[#This Row],[Refugees]])</f>
        <v>85268.709759999998</v>
      </c>
      <c r="AR23" s="66">
        <f>Table8[[#This Row],[IDPs]]</f>
        <v>0</v>
      </c>
      <c r="AS23" s="66">
        <f>Table8[[#This Row],[Returnee Migrants]]</f>
        <v>0</v>
      </c>
      <c r="AT23" s="66">
        <f>Table13611[[#This Row],[Refugee Targets]]</f>
        <v>0</v>
      </c>
      <c r="AV23" s="79">
        <f>Table9[[#This Row],[2020 Inter-cluster Response ]]</f>
        <v>63537</v>
      </c>
      <c r="AX23" s="79">
        <f>Table13611[[#This Row],[Overall Intersectorial PiN]]-Table13611[[#This Row],[Overall Intersectorial Final Target]]</f>
        <v>4093.2902400000021</v>
      </c>
      <c r="AY23" s="4">
        <v>4</v>
      </c>
    </row>
    <row r="24" spans="1:51" x14ac:dyDescent="0.2">
      <c r="A24" s="3" t="s">
        <v>15</v>
      </c>
      <c r="B24" s="3" t="s">
        <v>22</v>
      </c>
      <c r="C24" s="223" t="s">
        <v>518</v>
      </c>
      <c r="D24" s="209">
        <f>Table136[[#This Row],[Overall Intersectorial Final PiN]]</f>
        <v>45049</v>
      </c>
      <c r="E24" s="206">
        <f>Table1345[[#This Row],[CCCM_Target]]</f>
        <v>0</v>
      </c>
      <c r="F24" s="52"/>
      <c r="G24" s="52"/>
      <c r="H24" s="74">
        <v>1670.0115059082284</v>
      </c>
      <c r="I24" s="52">
        <v>584.50402706787986</v>
      </c>
      <c r="J24" s="52">
        <v>1085.5074788403485</v>
      </c>
      <c r="K24" s="74">
        <f>Table1345[[#This Row],[Education Target]]</f>
        <v>0</v>
      </c>
      <c r="L24" s="74">
        <v>0</v>
      </c>
      <c r="M24" s="74">
        <v>0</v>
      </c>
      <c r="N24" s="52">
        <f>Table1345[[#This Row],[FSC Target]]</f>
        <v>17842.393249499997</v>
      </c>
      <c r="O24" s="52"/>
      <c r="P24" s="52"/>
      <c r="Q24" s="51">
        <v>8244</v>
      </c>
      <c r="R24" s="213">
        <v>2116</v>
      </c>
      <c r="S24" s="52">
        <v>6128</v>
      </c>
      <c r="T24" s="52">
        <f>0.65*Table1345[[#This Row],[Health PiN]]</f>
        <v>20426.434503175649</v>
      </c>
      <c r="U24" s="74">
        <v>9396.159871460799</v>
      </c>
      <c r="V24" s="52">
        <v>11030.274631714852</v>
      </c>
      <c r="W24" s="52">
        <f>Table1345[[#This Row],[Nutrition Target]]</f>
        <v>0</v>
      </c>
      <c r="X24" s="52"/>
      <c r="Y24" s="52"/>
      <c r="Z24" s="52"/>
      <c r="AA24" s="52">
        <f>Table1345[[#This Row],[Shelter/NFIs Target]]</f>
        <v>0</v>
      </c>
      <c r="AB24" s="52"/>
      <c r="AC24" s="52"/>
      <c r="AD24" s="52"/>
      <c r="AE24" s="52"/>
      <c r="AF24" s="52"/>
      <c r="AG24" s="66">
        <f>Table1345[[#This Row],[WASH Targets]]</f>
        <v>0</v>
      </c>
      <c r="AH24" s="52">
        <v>0</v>
      </c>
      <c r="AI24" s="52">
        <v>0</v>
      </c>
      <c r="AJ24" s="52"/>
      <c r="AK24" s="52"/>
      <c r="AL24" s="52"/>
      <c r="AM24" s="84"/>
      <c r="AN24"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20426.434503175649</v>
      </c>
      <c r="AQ24" s="66">
        <f>Table13611[[#This Row],[Overall Intersectorial Final Target]]-(Table813[[#This Row],[IDPs]]+Table813[[#This Row],[Returnee Migrants]]+Table813[[#This Row],[Refugees]])</f>
        <v>20426.434503175649</v>
      </c>
      <c r="AR24" s="66">
        <f>Table8[[#This Row],[IDPs]]</f>
        <v>0</v>
      </c>
      <c r="AS24" s="66">
        <f>Table8[[#This Row],[Returnee Migrants]]</f>
        <v>0</v>
      </c>
      <c r="AT24" s="66">
        <f>Table13611[[#This Row],[Refugee Targets]]</f>
        <v>0</v>
      </c>
      <c r="AV24" s="79">
        <f>Table9[[#This Row],[2020 Inter-cluster Response ]]</f>
        <v>61199</v>
      </c>
      <c r="AX24" s="79">
        <f>Table13611[[#This Row],[Overall Intersectorial PiN]]-Table13611[[#This Row],[Overall Intersectorial Final Target]]</f>
        <v>24622.565496824351</v>
      </c>
      <c r="AY24" s="4">
        <v>4</v>
      </c>
    </row>
    <row r="25" spans="1:51" x14ac:dyDescent="0.2">
      <c r="A25" s="3" t="s">
        <v>15</v>
      </c>
      <c r="B25" s="3" t="s">
        <v>19</v>
      </c>
      <c r="C25" s="223" t="s">
        <v>518</v>
      </c>
      <c r="D25" s="209">
        <f>Table136[[#This Row],[Overall Intersectorial Final PiN]]</f>
        <v>135246.08536077465</v>
      </c>
      <c r="E25" s="206">
        <f>Table1345[[#This Row],[CCCM_Target]]</f>
        <v>0</v>
      </c>
      <c r="F25" s="52"/>
      <c r="G25" s="52"/>
      <c r="H25" s="74">
        <v>3852.5817392175877</v>
      </c>
      <c r="I25" s="52">
        <v>1348.4036087261557</v>
      </c>
      <c r="J25" s="52">
        <v>2504.1781304914321</v>
      </c>
      <c r="K25" s="74">
        <f>Table1345[[#This Row],[Education Target]]</f>
        <v>62531</v>
      </c>
      <c r="L25" s="74">
        <v>30952.845000000001</v>
      </c>
      <c r="M25" s="74">
        <v>31578.154999999999</v>
      </c>
      <c r="N25" s="52">
        <f>Table1345[[#This Row],[FSC Target]]</f>
        <v>78320.71583999999</v>
      </c>
      <c r="O25" s="52"/>
      <c r="P25" s="52"/>
      <c r="Q25" s="51">
        <v>0</v>
      </c>
      <c r="R25" s="213">
        <v>0</v>
      </c>
      <c r="S25" s="52">
        <v>0</v>
      </c>
      <c r="T25" s="52">
        <f>0.65*Table1345[[#This Row],[Health PiN]]</f>
        <v>87909.955484503531</v>
      </c>
      <c r="U25" s="74">
        <v>40438.579522871623</v>
      </c>
      <c r="V25" s="52">
        <v>47471.375961631908</v>
      </c>
      <c r="W25" s="52">
        <f>Table1345[[#This Row],[Nutrition Target]]</f>
        <v>31106.599632978166</v>
      </c>
      <c r="X25" s="52">
        <v>10603.29309228473</v>
      </c>
      <c r="Y25" s="52">
        <v>11036.080565439212</v>
      </c>
      <c r="Z25" s="52">
        <v>18934.451950508454</v>
      </c>
      <c r="AA25" s="52">
        <f>Table1345[[#This Row],[Shelter/NFIs Target]]</f>
        <v>0</v>
      </c>
      <c r="AB25" s="52"/>
      <c r="AC25" s="52"/>
      <c r="AD25" s="52"/>
      <c r="AE25" s="52"/>
      <c r="AF25" s="52"/>
      <c r="AG25" s="66">
        <f>Table1345[[#This Row],[WASH Targets]]</f>
        <v>0</v>
      </c>
      <c r="AH25" s="52">
        <v>0</v>
      </c>
      <c r="AI25" s="52">
        <v>0</v>
      </c>
      <c r="AJ25" s="52"/>
      <c r="AK25" s="52"/>
      <c r="AL25" s="52"/>
      <c r="AM25" s="84"/>
      <c r="AN25"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87909.955484503531</v>
      </c>
      <c r="AQ25" s="66">
        <f>Table13611[[#This Row],[Overall Intersectorial Final Target]]-(Table813[[#This Row],[IDPs]]+Table813[[#This Row],[Returnee Migrants]]+Table813[[#This Row],[Refugees]])</f>
        <v>87909.955484503531</v>
      </c>
      <c r="AR25" s="66">
        <f>Table8[[#This Row],[IDPs]]</f>
        <v>0</v>
      </c>
      <c r="AS25" s="66">
        <f>Table8[[#This Row],[Returnee Migrants]]</f>
        <v>0</v>
      </c>
      <c r="AT25" s="66">
        <f>Table13611[[#This Row],[Refugee Targets]]</f>
        <v>0</v>
      </c>
      <c r="AV25" s="79">
        <f>Table9[[#This Row],[2020 Inter-cluster Response ]]</f>
        <v>123680</v>
      </c>
      <c r="AX25" s="79">
        <f>Table13611[[#This Row],[Overall Intersectorial PiN]]-Table13611[[#This Row],[Overall Intersectorial Final Target]]</f>
        <v>47336.129876271123</v>
      </c>
      <c r="AY25" s="4">
        <v>4</v>
      </c>
    </row>
    <row r="26" spans="1:51" x14ac:dyDescent="0.2">
      <c r="A26" s="3" t="s">
        <v>15</v>
      </c>
      <c r="B26" s="3" t="s">
        <v>23</v>
      </c>
      <c r="C26" s="223" t="s">
        <v>517</v>
      </c>
      <c r="D26" s="209">
        <f>Table136[[#This Row],[Overall Intersectorial Final PiN]]</f>
        <v>5854.6051879031438</v>
      </c>
      <c r="E26" s="206">
        <f>Table1345[[#This Row],[CCCM_Target]]</f>
        <v>0</v>
      </c>
      <c r="F26" s="52"/>
      <c r="G26" s="52"/>
      <c r="H26" s="74">
        <v>0</v>
      </c>
      <c r="I26" s="52">
        <v>0</v>
      </c>
      <c r="J26" s="52">
        <v>0</v>
      </c>
      <c r="K26" s="74">
        <f>Table1345[[#This Row],[Education Target]]</f>
        <v>0</v>
      </c>
      <c r="L26" s="74">
        <v>0</v>
      </c>
      <c r="M26" s="74">
        <v>0</v>
      </c>
      <c r="N26" s="52">
        <f>Table1345[[#This Row],[FSC Target]]</f>
        <v>0</v>
      </c>
      <c r="O26" s="52"/>
      <c r="P26" s="52"/>
      <c r="Q26" s="51">
        <v>0</v>
      </c>
      <c r="R26" s="213">
        <v>0</v>
      </c>
      <c r="S26" s="52">
        <v>0</v>
      </c>
      <c r="T26" s="52">
        <f>0.65*Table1345[[#This Row],[Health PiN]]</f>
        <v>0</v>
      </c>
      <c r="U26" s="74"/>
      <c r="V26" s="52"/>
      <c r="W26" s="52">
        <f>Table1345[[#This Row],[Nutrition Target]]</f>
        <v>1510.3786905480165</v>
      </c>
      <c r="X26" s="52"/>
      <c r="Y26" s="52"/>
      <c r="Z26" s="52"/>
      <c r="AA26" s="52">
        <f>Table1345[[#This Row],[Shelter/NFIs Target]]</f>
        <v>0</v>
      </c>
      <c r="AB26" s="52"/>
      <c r="AC26" s="52"/>
      <c r="AD26" s="52"/>
      <c r="AE26" s="52"/>
      <c r="AF26" s="52"/>
      <c r="AG26" s="66">
        <f>Table1345[[#This Row],[WASH Targets]]</f>
        <v>0</v>
      </c>
      <c r="AH26" s="52">
        <v>0</v>
      </c>
      <c r="AI26" s="52">
        <v>0</v>
      </c>
      <c r="AJ26" s="52"/>
      <c r="AK26" s="52"/>
      <c r="AL26" s="52"/>
      <c r="AM26" s="84"/>
      <c r="AN26"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1510.3786905480165</v>
      </c>
      <c r="AQ26" s="66">
        <f>Table13611[[#This Row],[Overall Intersectorial Final Target]]-(Table813[[#This Row],[IDPs]]+Table813[[#This Row],[Returnee Migrants]]+Table813[[#This Row],[Refugees]])</f>
        <v>1510.3786905480165</v>
      </c>
      <c r="AR26" s="66">
        <f>Table8[[#This Row],[IDPs]]</f>
        <v>0</v>
      </c>
      <c r="AS26" s="66">
        <f>Table8[[#This Row],[Returnee Migrants]]</f>
        <v>0</v>
      </c>
      <c r="AT26" s="66">
        <f>Table13611[[#This Row],[Refugee Targets]]</f>
        <v>0</v>
      </c>
      <c r="AV26" s="79">
        <f>Table9[[#This Row],[2020 Inter-cluster Response ]]</f>
        <v>0</v>
      </c>
      <c r="AX26" s="79">
        <f>Table13611[[#This Row],[Overall Intersectorial PiN]]-Table13611[[#This Row],[Overall Intersectorial Final Target]]</f>
        <v>4344.2264973551273</v>
      </c>
      <c r="AY26" s="4">
        <v>3</v>
      </c>
    </row>
    <row r="27" spans="1:51" x14ac:dyDescent="0.2">
      <c r="A27" s="3" t="s">
        <v>15</v>
      </c>
      <c r="B27" s="3" t="s">
        <v>20</v>
      </c>
      <c r="C27" s="223" t="s">
        <v>518</v>
      </c>
      <c r="D27" s="209">
        <f>Table136[[#This Row],[Overall Intersectorial Final PiN]]</f>
        <v>32391</v>
      </c>
      <c r="E27" s="206">
        <f>Table1345[[#This Row],[CCCM_Target]]</f>
        <v>0</v>
      </c>
      <c r="F27" s="52"/>
      <c r="G27" s="52"/>
      <c r="H27" s="74">
        <v>1271.3426169600002</v>
      </c>
      <c r="I27" s="52">
        <v>444.96991593600006</v>
      </c>
      <c r="J27" s="52">
        <v>826.37270102400021</v>
      </c>
      <c r="K27" s="74">
        <f>Table1345[[#This Row],[Education Target]]</f>
        <v>21993</v>
      </c>
      <c r="L27" s="74">
        <v>10886.535</v>
      </c>
      <c r="M27" s="74">
        <v>11106.465</v>
      </c>
      <c r="N27" s="52">
        <f>Table1345[[#This Row],[FSC Target]]</f>
        <v>9086.5014704999994</v>
      </c>
      <c r="O27" s="52"/>
      <c r="P27" s="52"/>
      <c r="Q27" s="51">
        <v>0</v>
      </c>
      <c r="R27" s="213">
        <v>0</v>
      </c>
      <c r="S27" s="52">
        <v>0</v>
      </c>
      <c r="T27" s="52">
        <f>0.65*Table1345[[#This Row],[Health PiN]]</f>
        <v>0</v>
      </c>
      <c r="U27" s="74"/>
      <c r="V27" s="52"/>
      <c r="W27" s="52">
        <f>Table1345[[#This Row],[Nutrition Target]]</f>
        <v>0</v>
      </c>
      <c r="X27" s="52"/>
      <c r="Y27" s="52"/>
      <c r="Z27" s="52"/>
      <c r="AA27" s="52">
        <f>Table1345[[#This Row],[Shelter/NFIs Target]]</f>
        <v>0</v>
      </c>
      <c r="AB27" s="52"/>
      <c r="AC27" s="52"/>
      <c r="AD27" s="52"/>
      <c r="AE27" s="52"/>
      <c r="AF27" s="52"/>
      <c r="AG27" s="66">
        <f>Table1345[[#This Row],[WASH Targets]]</f>
        <v>0</v>
      </c>
      <c r="AH27" s="52">
        <v>0</v>
      </c>
      <c r="AI27" s="52">
        <v>0</v>
      </c>
      <c r="AJ27" s="52"/>
      <c r="AK27" s="52"/>
      <c r="AL27" s="52"/>
      <c r="AM27" s="84"/>
      <c r="AN27" s="89">
        <v>9086.5014704999994</v>
      </c>
      <c r="AQ27" s="66">
        <f>Table13611[[#This Row],[Overall Intersectorial Final Target]]-(Table813[[#This Row],[IDPs]]+Table813[[#This Row],[Returnee Migrants]]+Table813[[#This Row],[Refugees]])</f>
        <v>9086.5014704999994</v>
      </c>
      <c r="AR27" s="66">
        <f>Table8[[#This Row],[IDPs]]</f>
        <v>0</v>
      </c>
      <c r="AS27" s="66">
        <f>Table8[[#This Row],[Returnee Migrants]]</f>
        <v>0</v>
      </c>
      <c r="AT27" s="66">
        <f>Table13611[[#This Row],[Refugee Targets]]</f>
        <v>0</v>
      </c>
      <c r="AV27" s="79">
        <f>Table9[[#This Row],[2020 Inter-cluster Response ]]</f>
        <v>51083</v>
      </c>
      <c r="AX27" s="79">
        <f>Table13611[[#This Row],[Overall Intersectorial PiN]]-Table13611[[#This Row],[Overall Intersectorial Final Target]]</f>
        <v>23304.498529500001</v>
      </c>
      <c r="AY27" s="4">
        <v>3</v>
      </c>
    </row>
    <row r="28" spans="1:51" x14ac:dyDescent="0.2">
      <c r="A28" s="3" t="s">
        <v>15</v>
      </c>
      <c r="B28" s="3" t="s">
        <v>21</v>
      </c>
      <c r="C28" s="223" t="s">
        <v>518</v>
      </c>
      <c r="D28" s="209">
        <f>Table136[[#This Row],[Overall Intersectorial Final PiN]]</f>
        <v>47168.443168014441</v>
      </c>
      <c r="E28" s="206">
        <f>Table1345[[#This Row],[CCCM_Target]]</f>
        <v>0</v>
      </c>
      <c r="F28" s="52"/>
      <c r="G28" s="52"/>
      <c r="H28" s="74">
        <v>0</v>
      </c>
      <c r="I28" s="52">
        <v>0</v>
      </c>
      <c r="J28" s="52">
        <v>0</v>
      </c>
      <c r="K28" s="74">
        <f>Table1345[[#This Row],[Education Target]]</f>
        <v>0</v>
      </c>
      <c r="L28" s="74">
        <v>0</v>
      </c>
      <c r="M28" s="74">
        <v>0</v>
      </c>
      <c r="N28" s="52">
        <f>Table1345[[#This Row],[FSC Target]]</f>
        <v>38764.247040000002</v>
      </c>
      <c r="O28" s="52"/>
      <c r="P28" s="52"/>
      <c r="Q28" s="51">
        <v>0</v>
      </c>
      <c r="R28" s="213">
        <v>0</v>
      </c>
      <c r="S28" s="52">
        <v>0</v>
      </c>
      <c r="T28" s="52">
        <f>0.65*Table1345[[#This Row],[Health PiN]]</f>
        <v>30659.488059209387</v>
      </c>
      <c r="U28" s="74">
        <v>14103.364507236318</v>
      </c>
      <c r="V28" s="52">
        <v>16556.123551973069</v>
      </c>
      <c r="W28" s="52">
        <f>Table1345[[#This Row],[Nutrition Target]]</f>
        <v>0</v>
      </c>
      <c r="X28" s="52"/>
      <c r="Y28" s="52"/>
      <c r="Z28" s="52"/>
      <c r="AA28" s="52">
        <f>Table1345[[#This Row],[Shelter/NFIs Target]]</f>
        <v>0</v>
      </c>
      <c r="AB28" s="52"/>
      <c r="AC28" s="52"/>
      <c r="AD28" s="52"/>
      <c r="AE28" s="52"/>
      <c r="AF28" s="52"/>
      <c r="AG28" s="66">
        <f>Table1345[[#This Row],[WASH Targets]]</f>
        <v>0</v>
      </c>
      <c r="AH28" s="52">
        <v>0</v>
      </c>
      <c r="AI28" s="52">
        <v>0</v>
      </c>
      <c r="AJ28" s="52"/>
      <c r="AK28" s="52"/>
      <c r="AL28" s="52"/>
      <c r="AM28" s="84"/>
      <c r="AN28"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38764.247040000002</v>
      </c>
      <c r="AQ28" s="66">
        <f>Table13611[[#This Row],[Overall Intersectorial Final Target]]-(Table813[[#This Row],[IDPs]]+Table813[[#This Row],[Returnee Migrants]]+Table813[[#This Row],[Refugees]])</f>
        <v>38764.247040000002</v>
      </c>
      <c r="AR28" s="66">
        <f>Table8[[#This Row],[IDPs]]</f>
        <v>0</v>
      </c>
      <c r="AS28" s="66">
        <f>Table8[[#This Row],[Returnee Migrants]]</f>
        <v>0</v>
      </c>
      <c r="AT28" s="66">
        <f>Table13611[[#This Row],[Refugee Targets]]</f>
        <v>0</v>
      </c>
      <c r="AV28" s="79">
        <f>Table9[[#This Row],[2020 Inter-cluster Response ]]</f>
        <v>45741</v>
      </c>
      <c r="AX28" s="79">
        <f>Table13611[[#This Row],[Overall Intersectorial PiN]]-Table13611[[#This Row],[Overall Intersectorial Final Target]]</f>
        <v>8404.1961280144387</v>
      </c>
      <c r="AY28" s="4">
        <v>3</v>
      </c>
    </row>
    <row r="29" spans="1:51" x14ac:dyDescent="0.2">
      <c r="A29" s="3" t="s">
        <v>25</v>
      </c>
      <c r="B29" s="3" t="s">
        <v>26</v>
      </c>
      <c r="C29" s="223" t="s">
        <v>518</v>
      </c>
      <c r="D29" s="209">
        <f>Table136[[#This Row],[Overall Intersectorial Final PiN]]</f>
        <v>44591.117312029026</v>
      </c>
      <c r="E29" s="206">
        <f>Table1345[[#This Row],[CCCM_Target]]</f>
        <v>0</v>
      </c>
      <c r="F29" s="52"/>
      <c r="G29" s="52"/>
      <c r="H29" s="74">
        <v>1969.7972631999999</v>
      </c>
      <c r="I29" s="52">
        <v>689.42904211999996</v>
      </c>
      <c r="J29" s="52">
        <v>1280.36822108</v>
      </c>
      <c r="K29" s="74">
        <f>Table1345[[#This Row],[Education Target]]</f>
        <v>0</v>
      </c>
      <c r="L29" s="74">
        <v>0</v>
      </c>
      <c r="M29" s="74">
        <v>0</v>
      </c>
      <c r="N29" s="52">
        <f>Table1345[[#This Row],[FSC Target]]</f>
        <v>7372.4906654999995</v>
      </c>
      <c r="O29" s="52"/>
      <c r="P29" s="52"/>
      <c r="Q29" s="51">
        <v>0</v>
      </c>
      <c r="R29" s="213">
        <v>0</v>
      </c>
      <c r="S29" s="52">
        <v>0</v>
      </c>
      <c r="T29" s="52">
        <f>0.65*Table1345[[#This Row],[Health PiN]]</f>
        <v>28984.226252818869</v>
      </c>
      <c r="U29" s="74">
        <v>13332.74407629668</v>
      </c>
      <c r="V29" s="52">
        <v>15651.482176522191</v>
      </c>
      <c r="W29" s="52">
        <f>Table1345[[#This Row],[Nutrition Target]]</f>
        <v>0</v>
      </c>
      <c r="X29" s="52"/>
      <c r="Y29" s="52"/>
      <c r="Z29" s="52"/>
      <c r="AA29" s="52">
        <f>Table1345[[#This Row],[Shelter/NFIs Target]]</f>
        <v>0</v>
      </c>
      <c r="AB29" s="52"/>
      <c r="AC29" s="52"/>
      <c r="AD29" s="52"/>
      <c r="AE29" s="52"/>
      <c r="AF29" s="52"/>
      <c r="AG29" s="66">
        <f>Table1345[[#This Row],[WASH Targets]]</f>
        <v>0</v>
      </c>
      <c r="AH29" s="52">
        <v>0</v>
      </c>
      <c r="AI29" s="52">
        <v>0</v>
      </c>
      <c r="AJ29" s="52"/>
      <c r="AK29" s="52"/>
      <c r="AL29" s="52"/>
      <c r="AM29" s="84"/>
      <c r="AN29"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28984.226252818869</v>
      </c>
      <c r="AQ29" s="66">
        <f>Table13611[[#This Row],[Overall Intersectorial Final Target]]-(Table813[[#This Row],[IDPs]]+Table813[[#This Row],[Returnee Migrants]]+Table813[[#This Row],[Refugees]])</f>
        <v>28984.226252818869</v>
      </c>
      <c r="AR29" s="66">
        <f>Table8[[#This Row],[IDPs]]</f>
        <v>0</v>
      </c>
      <c r="AS29" s="66">
        <f>Table8[[#This Row],[Returnee Migrants]]</f>
        <v>0</v>
      </c>
      <c r="AT29" s="66">
        <f>Table13611[[#This Row],[Refugee Targets]]</f>
        <v>0</v>
      </c>
      <c r="AV29" s="79">
        <f>Table9[[#This Row],[2020 Inter-cluster Response ]]</f>
        <v>24778</v>
      </c>
      <c r="AX29" s="79">
        <f>Table13611[[#This Row],[Overall Intersectorial PiN]]-Table13611[[#This Row],[Overall Intersectorial Final Target]]</f>
        <v>15606.891059210157</v>
      </c>
      <c r="AY29" s="4">
        <v>3</v>
      </c>
    </row>
    <row r="30" spans="1:51" x14ac:dyDescent="0.2">
      <c r="A30" s="3" t="s">
        <v>25</v>
      </c>
      <c r="B30" s="3" t="s">
        <v>27</v>
      </c>
      <c r="C30" s="223" t="s">
        <v>518</v>
      </c>
      <c r="D30" s="209">
        <f>Table136[[#This Row],[Overall Intersectorial Final PiN]]</f>
        <v>83499.835293522818</v>
      </c>
      <c r="E30" s="206">
        <f>Table1345[[#This Row],[CCCM_Target]]</f>
        <v>0</v>
      </c>
      <c r="F30" s="52"/>
      <c r="G30" s="52"/>
      <c r="H30" s="74">
        <v>3487.2005817586219</v>
      </c>
      <c r="I30" s="52">
        <v>1220.5202036155176</v>
      </c>
      <c r="J30" s="52">
        <v>2266.6803781431045</v>
      </c>
      <c r="K30" s="74">
        <f>Table1345[[#This Row],[Education Target]]</f>
        <v>0</v>
      </c>
      <c r="L30" s="74">
        <v>20624.174999999999</v>
      </c>
      <c r="M30" s="74">
        <v>21040.825000000001</v>
      </c>
      <c r="N30" s="52">
        <f>Table1345[[#This Row],[FSC Target]]</f>
        <v>58886.057280000001</v>
      </c>
      <c r="O30" s="52"/>
      <c r="P30" s="52"/>
      <c r="Q30" s="51">
        <v>0</v>
      </c>
      <c r="R30" s="213">
        <v>0</v>
      </c>
      <c r="S30" s="52">
        <v>0</v>
      </c>
      <c r="T30" s="52">
        <f>0.65*Table1345[[#This Row],[Health PiN]]</f>
        <v>54274.892940789832</v>
      </c>
      <c r="U30" s="74">
        <v>24966.450752763325</v>
      </c>
      <c r="V30" s="52">
        <v>29308.442188026511</v>
      </c>
      <c r="W30" s="52">
        <f>Table1345[[#This Row],[Nutrition Target]]</f>
        <v>0</v>
      </c>
      <c r="X30" s="52"/>
      <c r="Y30" s="52"/>
      <c r="Z30" s="52"/>
      <c r="AA30" s="52">
        <f>Table1345[[#This Row],[Shelter/NFIs Target]]</f>
        <v>0</v>
      </c>
      <c r="AB30" s="52"/>
      <c r="AC30" s="52"/>
      <c r="AD30" s="52"/>
      <c r="AE30" s="52"/>
      <c r="AF30" s="52"/>
      <c r="AG30" s="66">
        <f>Table1345[[#This Row],[WASH Targets]]</f>
        <v>0</v>
      </c>
      <c r="AH30" s="52">
        <v>0</v>
      </c>
      <c r="AI30" s="52">
        <v>0</v>
      </c>
      <c r="AJ30" s="52"/>
      <c r="AK30" s="52"/>
      <c r="AL30" s="52"/>
      <c r="AM30" s="84"/>
      <c r="AN30"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58886.057280000001</v>
      </c>
      <c r="AQ30" s="66">
        <f>Table13611[[#This Row],[Overall Intersectorial Final Target]]-(Table813[[#This Row],[IDPs]]+Table813[[#This Row],[Returnee Migrants]]+Table813[[#This Row],[Refugees]])</f>
        <v>58886.057280000001</v>
      </c>
      <c r="AR30" s="66">
        <f>Table8[[#This Row],[IDPs]]</f>
        <v>0</v>
      </c>
      <c r="AS30" s="66">
        <f>Table8[[#This Row],[Returnee Migrants]]</f>
        <v>0</v>
      </c>
      <c r="AT30" s="66">
        <f>Table13611[[#This Row],[Refugee Targets]]</f>
        <v>0</v>
      </c>
      <c r="AV30" s="79">
        <f>Table9[[#This Row],[2020 Inter-cluster Response ]]</f>
        <v>58210</v>
      </c>
      <c r="AX30" s="79">
        <f>Table13611[[#This Row],[Overall Intersectorial PiN]]-Table13611[[#This Row],[Overall Intersectorial Final Target]]</f>
        <v>24613.778013522817</v>
      </c>
      <c r="AY30" s="4">
        <v>4</v>
      </c>
    </row>
    <row r="31" spans="1:51" x14ac:dyDescent="0.2">
      <c r="A31" s="3" t="s">
        <v>25</v>
      </c>
      <c r="B31" s="3" t="s">
        <v>28</v>
      </c>
      <c r="C31" s="223" t="s">
        <v>518</v>
      </c>
      <c r="D31" s="209">
        <f>Table136[[#This Row],[Overall Intersectorial Final PiN]]</f>
        <v>15523</v>
      </c>
      <c r="E31" s="206">
        <f>Table1345[[#This Row],[CCCM_Target]]</f>
        <v>0</v>
      </c>
      <c r="F31" s="52"/>
      <c r="G31" s="52"/>
      <c r="H31" s="74">
        <v>0</v>
      </c>
      <c r="I31" s="52">
        <v>0</v>
      </c>
      <c r="J31" s="52">
        <v>0</v>
      </c>
      <c r="K31" s="74">
        <f>Table1345[[#This Row],[Education Target]]</f>
        <v>0</v>
      </c>
      <c r="L31" s="74">
        <v>0</v>
      </c>
      <c r="M31" s="74">
        <v>0</v>
      </c>
      <c r="N31" s="52">
        <f>Table1345[[#This Row],[FSC Target]]</f>
        <v>14693.450879999999</v>
      </c>
      <c r="O31" s="52"/>
      <c r="P31" s="52"/>
      <c r="Q31" s="51">
        <v>0</v>
      </c>
      <c r="R31" s="213">
        <v>0</v>
      </c>
      <c r="S31" s="52">
        <v>0</v>
      </c>
      <c r="T31" s="52">
        <f>0.65*Table1345[[#This Row],[Health PiN]]</f>
        <v>0</v>
      </c>
      <c r="U31" s="74"/>
      <c r="V31" s="52"/>
      <c r="W31" s="52">
        <f>Table1345[[#This Row],[Nutrition Target]]</f>
        <v>0</v>
      </c>
      <c r="X31" s="52"/>
      <c r="Y31" s="52"/>
      <c r="Z31" s="52"/>
      <c r="AA31" s="52">
        <f>Table1345[[#This Row],[Shelter/NFIs Target]]</f>
        <v>0</v>
      </c>
      <c r="AB31" s="52"/>
      <c r="AC31" s="52"/>
      <c r="AD31" s="52"/>
      <c r="AE31" s="52"/>
      <c r="AF31" s="52"/>
      <c r="AG31" s="66">
        <f>Table1345[[#This Row],[WASH Targets]]</f>
        <v>0</v>
      </c>
      <c r="AH31" s="52">
        <v>0</v>
      </c>
      <c r="AI31" s="52">
        <v>0</v>
      </c>
      <c r="AJ31" s="52"/>
      <c r="AK31" s="52"/>
      <c r="AL31" s="52"/>
      <c r="AM31" s="84"/>
      <c r="AN31"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14693.450879999999</v>
      </c>
      <c r="AQ31" s="66">
        <f>Table13611[[#This Row],[Overall Intersectorial Final Target]]-(Table813[[#This Row],[IDPs]]+Table813[[#This Row],[Returnee Migrants]]+Table813[[#This Row],[Refugees]])</f>
        <v>14693.450879999999</v>
      </c>
      <c r="AR31" s="66">
        <f>Table8[[#This Row],[IDPs]]</f>
        <v>0</v>
      </c>
      <c r="AS31" s="66">
        <f>Table8[[#This Row],[Returnee Migrants]]</f>
        <v>0</v>
      </c>
      <c r="AT31" s="66">
        <f>Table13611[[#This Row],[Refugee Targets]]</f>
        <v>0</v>
      </c>
      <c r="AV31" s="79">
        <f>Table9[[#This Row],[2020 Inter-cluster Response ]]</f>
        <v>22600</v>
      </c>
      <c r="AX31" s="79">
        <f>Table13611[[#This Row],[Overall Intersectorial PiN]]-Table13611[[#This Row],[Overall Intersectorial Final Target]]</f>
        <v>829.54912000000149</v>
      </c>
      <c r="AY31" s="4">
        <v>3</v>
      </c>
    </row>
    <row r="32" spans="1:51" x14ac:dyDescent="0.2">
      <c r="A32" s="3" t="s">
        <v>25</v>
      </c>
      <c r="B32" s="3" t="s">
        <v>102</v>
      </c>
      <c r="C32" s="223" t="s">
        <v>518</v>
      </c>
      <c r="D32" s="209">
        <f>Table136[[#This Row],[Overall Intersectorial Final PiN]]</f>
        <v>25589</v>
      </c>
      <c r="E32" s="206">
        <f>Table1345[[#This Row],[CCCM_Target]]</f>
        <v>0</v>
      </c>
      <c r="F32" s="52"/>
      <c r="G32" s="52"/>
      <c r="H32" s="74">
        <v>0</v>
      </c>
      <c r="I32" s="52">
        <v>0</v>
      </c>
      <c r="J32" s="52">
        <v>0</v>
      </c>
      <c r="K32" s="74">
        <f>Table1345[[#This Row],[Education Target]]</f>
        <v>0</v>
      </c>
      <c r="L32" s="74">
        <v>21701.294999999998</v>
      </c>
      <c r="M32" s="74">
        <v>22139.705000000002</v>
      </c>
      <c r="N32" s="52">
        <f>Table1345[[#This Row],[FSC Target]]</f>
        <v>24221.523839999998</v>
      </c>
      <c r="O32" s="52"/>
      <c r="P32" s="52"/>
      <c r="Q32" s="51">
        <v>0</v>
      </c>
      <c r="R32" s="213">
        <v>0</v>
      </c>
      <c r="S32" s="52">
        <v>0</v>
      </c>
      <c r="T32" s="52">
        <f>0.65*Table1345[[#This Row],[Health PiN]]</f>
        <v>12375.830144485939</v>
      </c>
      <c r="U32" s="74">
        <v>5692.8818664635319</v>
      </c>
      <c r="V32" s="52">
        <v>6682.9482780224071</v>
      </c>
      <c r="W32" s="52">
        <f>Table1345[[#This Row],[Nutrition Target]]</f>
        <v>0</v>
      </c>
      <c r="X32" s="52"/>
      <c r="Y32" s="52"/>
      <c r="Z32" s="52"/>
      <c r="AA32" s="52">
        <f>Table1345[[#This Row],[Shelter/NFIs Target]]</f>
        <v>0</v>
      </c>
      <c r="AB32" s="52"/>
      <c r="AC32" s="52"/>
      <c r="AD32" s="52"/>
      <c r="AE32" s="52"/>
      <c r="AF32" s="52"/>
      <c r="AG32" s="66">
        <f>Table1345[[#This Row],[WASH Targets]]</f>
        <v>0</v>
      </c>
      <c r="AH32" s="52">
        <v>0</v>
      </c>
      <c r="AI32" s="52">
        <v>0</v>
      </c>
      <c r="AJ32" s="52"/>
      <c r="AK32" s="52"/>
      <c r="AL32" s="52"/>
      <c r="AM32" s="84"/>
      <c r="AN32" s="89">
        <v>24221.523839999998</v>
      </c>
      <c r="AQ32" s="66">
        <f>Table13611[[#This Row],[Overall Intersectorial Final Target]]-(Table813[[#This Row],[IDPs]]+Table813[[#This Row],[Returnee Migrants]]+Table813[[#This Row],[Refugees]])</f>
        <v>24221.523839999998</v>
      </c>
      <c r="AR32" s="66">
        <f>Table8[[#This Row],[IDPs]]</f>
        <v>0</v>
      </c>
      <c r="AS32" s="66">
        <f>Table8[[#This Row],[Returnee Migrants]]</f>
        <v>0</v>
      </c>
      <c r="AT32" s="66">
        <f>Table13611[[#This Row],[Refugee Targets]]</f>
        <v>0</v>
      </c>
      <c r="AV32" s="79">
        <f>Table9[[#This Row],[2020 Inter-cluster Response ]]</f>
        <v>27498</v>
      </c>
      <c r="AX32" s="79">
        <f>Table13611[[#This Row],[Overall Intersectorial PiN]]-Table13611[[#This Row],[Overall Intersectorial Final Target]]</f>
        <v>1367.476160000002</v>
      </c>
      <c r="AY32" s="4">
        <v>3</v>
      </c>
    </row>
    <row r="33" spans="1:51" x14ac:dyDescent="0.2">
      <c r="A33" s="3" t="s">
        <v>25</v>
      </c>
      <c r="B33" s="3" t="s">
        <v>33</v>
      </c>
      <c r="C33" s="223" t="s">
        <v>517</v>
      </c>
      <c r="D33" s="209">
        <f>Table136[[#This Row],[Overall Intersectorial Final PiN]]</f>
        <v>33476.093573562634</v>
      </c>
      <c r="E33" s="206">
        <f>Table1345[[#This Row],[CCCM_Target]]</f>
        <v>0</v>
      </c>
      <c r="F33" s="52"/>
      <c r="G33" s="52"/>
      <c r="H33" s="74">
        <v>0</v>
      </c>
      <c r="I33" s="52">
        <v>0</v>
      </c>
      <c r="J33" s="52">
        <v>0</v>
      </c>
      <c r="K33" s="74">
        <f>Table1345[[#This Row],[Education Target]]</f>
        <v>0</v>
      </c>
      <c r="L33" s="74">
        <v>0</v>
      </c>
      <c r="M33" s="74">
        <v>0</v>
      </c>
      <c r="N33" s="52">
        <f>Table1345[[#This Row],[FSC Target]]</f>
        <v>25000</v>
      </c>
      <c r="O33" s="52"/>
      <c r="P33" s="52"/>
      <c r="Q33" s="51">
        <v>0</v>
      </c>
      <c r="R33" s="213">
        <v>0</v>
      </c>
      <c r="S33" s="52">
        <v>0</v>
      </c>
      <c r="T33" s="52">
        <f>0.65*Table1345[[#This Row],[Health PiN]]</f>
        <v>6558.7615275277949</v>
      </c>
      <c r="U33" s="74">
        <v>3017.0303026627857</v>
      </c>
      <c r="V33" s="52">
        <v>3541.7312248650096</v>
      </c>
      <c r="W33" s="52">
        <f>Table1345[[#This Row],[Nutrition Target]]</f>
        <v>0</v>
      </c>
      <c r="X33" s="52"/>
      <c r="Y33" s="52"/>
      <c r="Z33" s="52"/>
      <c r="AA33" s="52">
        <f>Table1345[[#This Row],[Shelter/NFIs Target]]</f>
        <v>0</v>
      </c>
      <c r="AB33" s="52"/>
      <c r="AC33" s="52"/>
      <c r="AD33" s="52"/>
      <c r="AE33" s="52"/>
      <c r="AF33" s="52"/>
      <c r="AG33" s="66">
        <f>Table1345[[#This Row],[WASH Targets]]</f>
        <v>0</v>
      </c>
      <c r="AH33" s="52">
        <v>0</v>
      </c>
      <c r="AI33" s="52">
        <v>0</v>
      </c>
      <c r="AJ33" s="52"/>
      <c r="AK33" s="52"/>
      <c r="AL33" s="52"/>
      <c r="AM33" s="84"/>
      <c r="AN33"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25000</v>
      </c>
      <c r="AQ33" s="66">
        <f>Table13611[[#This Row],[Overall Intersectorial Final Target]]-(Table813[[#This Row],[IDPs]]+Table813[[#This Row],[Returnee Migrants]]+Table813[[#This Row],[Refugees]])</f>
        <v>25000</v>
      </c>
      <c r="AR33" s="66">
        <f>Table8[[#This Row],[IDPs]]</f>
        <v>0</v>
      </c>
      <c r="AS33" s="66">
        <f>Table8[[#This Row],[Returnee Migrants]]</f>
        <v>0</v>
      </c>
      <c r="AT33" s="66">
        <f>Table13611[[#This Row],[Refugee Targets]]</f>
        <v>0</v>
      </c>
      <c r="AV33" s="79">
        <f>Table9[[#This Row],[2020 Inter-cluster Response ]]</f>
        <v>29494</v>
      </c>
      <c r="AX33" s="79">
        <f>Table13611[[#This Row],[Overall Intersectorial PiN]]-Table13611[[#This Row],[Overall Intersectorial Final Target]]</f>
        <v>8476.0935735626335</v>
      </c>
      <c r="AY33" s="4">
        <v>3</v>
      </c>
    </row>
    <row r="34" spans="1:51" x14ac:dyDescent="0.2">
      <c r="A34" s="3" t="s">
        <v>25</v>
      </c>
      <c r="B34" s="3" t="s">
        <v>29</v>
      </c>
      <c r="C34" s="223" t="s">
        <v>518</v>
      </c>
      <c r="D34" s="209">
        <f>Table136[[#This Row],[Overall Intersectorial Final PiN]]</f>
        <v>65582</v>
      </c>
      <c r="E34" s="206">
        <f>Table1345[[#This Row],[CCCM_Target]]</f>
        <v>0</v>
      </c>
      <c r="F34" s="52"/>
      <c r="G34" s="52"/>
      <c r="H34" s="74">
        <v>2545.8359588479998</v>
      </c>
      <c r="I34" s="52">
        <v>891.04258559679988</v>
      </c>
      <c r="J34" s="52">
        <v>1654.7933732511999</v>
      </c>
      <c r="K34" s="74">
        <f>Table1345[[#This Row],[Education Target]]</f>
        <v>0</v>
      </c>
      <c r="L34" s="74">
        <v>10840.004999999999</v>
      </c>
      <c r="M34" s="74">
        <v>11058.995000000001</v>
      </c>
      <c r="N34" s="52">
        <f>Table1345[[#This Row],[FSC Target]]</f>
        <v>22397.423340999998</v>
      </c>
      <c r="O34" s="52"/>
      <c r="P34" s="52"/>
      <c r="Q34" s="51">
        <v>12352</v>
      </c>
      <c r="R34" s="213">
        <v>3136</v>
      </c>
      <c r="S34" s="52">
        <v>9216</v>
      </c>
      <c r="T34" s="52">
        <f>0.65*Table1345[[#This Row],[Health PiN]]</f>
        <v>0</v>
      </c>
      <c r="U34" s="74"/>
      <c r="V34" s="52"/>
      <c r="W34" s="52">
        <f>Table1345[[#This Row],[Nutrition Target]]</f>
        <v>18957.388738626945</v>
      </c>
      <c r="X34" s="52">
        <v>510.04120185966053</v>
      </c>
      <c r="Y34" s="52">
        <v>530.85921009883032</v>
      </c>
      <c r="Z34" s="52">
        <v>938.95655717905117</v>
      </c>
      <c r="AA34" s="52">
        <f>Table1345[[#This Row],[Shelter/NFIs Target]]</f>
        <v>0</v>
      </c>
      <c r="AB34" s="52"/>
      <c r="AC34" s="52"/>
      <c r="AD34" s="52"/>
      <c r="AE34" s="52"/>
      <c r="AF34" s="52"/>
      <c r="AG34" s="66">
        <f>Table1345[[#This Row],[WASH Targets]]</f>
        <v>28848.200254432304</v>
      </c>
      <c r="AH34" s="52">
        <v>13235.554276733541</v>
      </c>
      <c r="AI34" s="52">
        <v>15612.645977698763</v>
      </c>
      <c r="AJ34" s="52"/>
      <c r="AK34" s="52"/>
      <c r="AL34" s="52"/>
      <c r="AM34" s="84"/>
      <c r="AN34"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28848.200254432304</v>
      </c>
      <c r="AQ34" s="66">
        <f>Table13611[[#This Row],[Overall Intersectorial Final Target]]-(Table813[[#This Row],[IDPs]]+Table813[[#This Row],[Returnee Migrants]]+Table813[[#This Row],[Refugees]])</f>
        <v>28848.200254432304</v>
      </c>
      <c r="AR34" s="66">
        <f>Table8[[#This Row],[IDPs]]</f>
        <v>0</v>
      </c>
      <c r="AS34" s="66">
        <f>Table8[[#This Row],[Returnee Migrants]]</f>
        <v>0</v>
      </c>
      <c r="AT34" s="66">
        <f>Table13611[[#This Row],[Refugee Targets]]</f>
        <v>0</v>
      </c>
      <c r="AV34" s="79">
        <f>Table9[[#This Row],[2020 Inter-cluster Response ]]</f>
        <v>58981</v>
      </c>
      <c r="AX34" s="79">
        <f>Table13611[[#This Row],[Overall Intersectorial PiN]]-Table13611[[#This Row],[Overall Intersectorial Final Target]]</f>
        <v>36733.799745567696</v>
      </c>
      <c r="AY34" s="4">
        <v>3</v>
      </c>
    </row>
    <row r="35" spans="1:51" x14ac:dyDescent="0.2">
      <c r="A35" s="3" t="s">
        <v>25</v>
      </c>
      <c r="B35" s="3" t="s">
        <v>30</v>
      </c>
      <c r="C35" s="223" t="s">
        <v>518</v>
      </c>
      <c r="D35" s="209">
        <f>Table136[[#This Row],[Overall Intersectorial Final PiN]]</f>
        <v>123467.5160745155</v>
      </c>
      <c r="E35" s="206">
        <f>Table1345[[#This Row],[CCCM_Target]]</f>
        <v>0</v>
      </c>
      <c r="F35" s="52"/>
      <c r="G35" s="52"/>
      <c r="H35" s="74">
        <v>2270.6848843544908</v>
      </c>
      <c r="I35" s="52">
        <v>794.73970952407171</v>
      </c>
      <c r="J35" s="52">
        <v>1475.9451748304191</v>
      </c>
      <c r="K35" s="74">
        <f>Table1345[[#This Row],[Education Target]]</f>
        <v>0</v>
      </c>
      <c r="L35" s="74">
        <v>0</v>
      </c>
      <c r="M35" s="74">
        <v>0</v>
      </c>
      <c r="N35" s="52">
        <f>Table1345[[#This Row],[FSC Target]]</f>
        <v>52242.756159999997</v>
      </c>
      <c r="O35" s="52"/>
      <c r="P35" s="52"/>
      <c r="Q35" s="51">
        <v>0</v>
      </c>
      <c r="R35" s="213">
        <v>0</v>
      </c>
      <c r="S35" s="52">
        <v>0</v>
      </c>
      <c r="T35" s="52">
        <f>0.65*Table1345[[#This Row],[Health PiN]]</f>
        <v>80253.885448435074</v>
      </c>
      <c r="U35" s="74">
        <v>36916.787306280137</v>
      </c>
      <c r="V35" s="52">
        <v>43337.098142154944</v>
      </c>
      <c r="W35" s="52">
        <f>Table1345[[#This Row],[Nutrition Target]]</f>
        <v>0</v>
      </c>
      <c r="X35" s="52"/>
      <c r="Y35" s="52"/>
      <c r="Z35" s="52"/>
      <c r="AA35" s="52">
        <f>Table1345[[#This Row],[Shelter/NFIs Target]]</f>
        <v>0</v>
      </c>
      <c r="AB35" s="52"/>
      <c r="AC35" s="52"/>
      <c r="AD35" s="52"/>
      <c r="AE35" s="52"/>
      <c r="AF35" s="52"/>
      <c r="AG35" s="66">
        <f>Table1345[[#This Row],[WASH Targets]]</f>
        <v>0</v>
      </c>
      <c r="AH35" s="52">
        <v>0</v>
      </c>
      <c r="AI35" s="52">
        <v>0</v>
      </c>
      <c r="AJ35" s="52"/>
      <c r="AK35" s="52"/>
      <c r="AL35" s="52"/>
      <c r="AM35" s="84"/>
      <c r="AN35"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80253.885448435074</v>
      </c>
      <c r="AQ35" s="66">
        <f>Table13611[[#This Row],[Overall Intersectorial Final Target]]-(Table813[[#This Row],[IDPs]]+Table813[[#This Row],[Returnee Migrants]]+Table813[[#This Row],[Refugees]])</f>
        <v>80253.885448435074</v>
      </c>
      <c r="AR35" s="66">
        <f>Table8[[#This Row],[IDPs]]</f>
        <v>0</v>
      </c>
      <c r="AS35" s="66">
        <f>Table8[[#This Row],[Returnee Migrants]]</f>
        <v>0</v>
      </c>
      <c r="AT35" s="66">
        <f>Table13611[[#This Row],[Refugee Targets]]</f>
        <v>0</v>
      </c>
      <c r="AV35" s="79">
        <f>Table9[[#This Row],[2020 Inter-cluster Response ]]</f>
        <v>52972</v>
      </c>
      <c r="AX35" s="79">
        <f>Table13611[[#This Row],[Overall Intersectorial PiN]]-Table13611[[#This Row],[Overall Intersectorial Final Target]]</f>
        <v>43213.630626080427</v>
      </c>
      <c r="AY35" s="4">
        <v>3</v>
      </c>
    </row>
    <row r="36" spans="1:51" x14ac:dyDescent="0.2">
      <c r="A36" s="3" t="s">
        <v>25</v>
      </c>
      <c r="B36" s="3" t="s">
        <v>31</v>
      </c>
      <c r="C36" s="223" t="s">
        <v>518</v>
      </c>
      <c r="D36" s="209">
        <f>Table136[[#This Row],[Overall Intersectorial Final PiN]]</f>
        <v>54232.379790550614</v>
      </c>
      <c r="E36" s="206">
        <f>Table1345[[#This Row],[CCCM_Target]]</f>
        <v>0</v>
      </c>
      <c r="F36" s="52"/>
      <c r="G36" s="52"/>
      <c r="H36" s="74">
        <v>2449.7899295999996</v>
      </c>
      <c r="I36" s="52">
        <v>857.42647535999981</v>
      </c>
      <c r="J36" s="52">
        <v>1592.3634542399998</v>
      </c>
      <c r="K36" s="74">
        <f>Table1345[[#This Row],[Education Target]]</f>
        <v>0</v>
      </c>
      <c r="L36" s="74">
        <v>20298.465</v>
      </c>
      <c r="M36" s="74">
        <v>20708.535</v>
      </c>
      <c r="N36" s="52">
        <f>Table1345[[#This Row],[FSC Target]]</f>
        <v>46809.858240000001</v>
      </c>
      <c r="O36" s="52"/>
      <c r="P36" s="52"/>
      <c r="Q36" s="51">
        <v>0</v>
      </c>
      <c r="R36" s="213">
        <v>0</v>
      </c>
      <c r="S36" s="52">
        <v>0</v>
      </c>
      <c r="T36" s="52">
        <f>0.65*Table1345[[#This Row],[Health PiN]]</f>
        <v>35251.046863857904</v>
      </c>
      <c r="U36" s="74">
        <v>16215.481557374636</v>
      </c>
      <c r="V36" s="52">
        <v>19035.56530648327</v>
      </c>
      <c r="W36" s="52">
        <f>Table1345[[#This Row],[Nutrition Target]]</f>
        <v>0</v>
      </c>
      <c r="X36" s="52"/>
      <c r="Y36" s="52"/>
      <c r="Z36" s="52"/>
      <c r="AA36" s="52">
        <f>Table1345[[#This Row],[Shelter/NFIs Target]]</f>
        <v>0</v>
      </c>
      <c r="AB36" s="52"/>
      <c r="AC36" s="52"/>
      <c r="AD36" s="52"/>
      <c r="AE36" s="52"/>
      <c r="AF36" s="52"/>
      <c r="AG36" s="66">
        <f>Table1345[[#This Row],[WASH Targets]]</f>
        <v>34166.399268046887</v>
      </c>
      <c r="AH36" s="52">
        <v>15675.543984179913</v>
      </c>
      <c r="AI36" s="52">
        <v>18490.855283866978</v>
      </c>
      <c r="AJ36" s="52"/>
      <c r="AK36" s="52"/>
      <c r="AL36" s="52"/>
      <c r="AM36" s="84"/>
      <c r="AN36"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46809.858240000001</v>
      </c>
      <c r="AQ36" s="66">
        <f>Table13611[[#This Row],[Overall Intersectorial Final Target]]-(Table813[[#This Row],[IDPs]]+Table813[[#This Row],[Returnee Migrants]]+Table813[[#This Row],[Refugees]])</f>
        <v>46809.858240000001</v>
      </c>
      <c r="AR36" s="66">
        <f>Table8[[#This Row],[IDPs]]</f>
        <v>0</v>
      </c>
      <c r="AS36" s="66">
        <f>Table8[[#This Row],[Returnee Migrants]]</f>
        <v>0</v>
      </c>
      <c r="AT36" s="66">
        <f>Table13611[[#This Row],[Refugee Targets]]</f>
        <v>0</v>
      </c>
      <c r="AV36" s="79">
        <f>Table9[[#This Row],[2020 Inter-cluster Response ]]</f>
        <v>27135</v>
      </c>
      <c r="AX36" s="79">
        <f>Table13611[[#This Row],[Overall Intersectorial PiN]]-Table13611[[#This Row],[Overall Intersectorial Final Target]]</f>
        <v>7422.521550550613</v>
      </c>
      <c r="AY36" s="4">
        <v>3</v>
      </c>
    </row>
    <row r="37" spans="1:51" x14ac:dyDescent="0.2">
      <c r="A37" s="3" t="s">
        <v>25</v>
      </c>
      <c r="B37" s="3" t="s">
        <v>34</v>
      </c>
      <c r="C37" s="223" t="s">
        <v>517</v>
      </c>
      <c r="D37" s="209">
        <f>Table136[[#This Row],[Overall Intersectorial Final PiN]]</f>
        <v>36376.699208884071</v>
      </c>
      <c r="E37" s="206">
        <f>Table1345[[#This Row],[CCCM_Target]]</f>
        <v>0</v>
      </c>
      <c r="F37" s="52"/>
      <c r="G37" s="52"/>
      <c r="H37" s="74">
        <v>0</v>
      </c>
      <c r="I37" s="52">
        <v>0</v>
      </c>
      <c r="J37" s="52">
        <v>0</v>
      </c>
      <c r="K37" s="74">
        <f>Table1345[[#This Row],[Education Target]]</f>
        <v>0</v>
      </c>
      <c r="L37" s="74">
        <v>0</v>
      </c>
      <c r="M37" s="74">
        <v>0</v>
      </c>
      <c r="N37" s="52">
        <f>Table1345[[#This Row],[FSC Target]]</f>
        <v>17000</v>
      </c>
      <c r="O37" s="52"/>
      <c r="P37" s="52"/>
      <c r="Q37" s="51">
        <v>1282</v>
      </c>
      <c r="R37" s="213">
        <v>298</v>
      </c>
      <c r="S37" s="52">
        <v>984</v>
      </c>
      <c r="T37" s="52">
        <f>0.65*Table1345[[#This Row],[Health PiN]]</f>
        <v>0</v>
      </c>
      <c r="U37" s="74"/>
      <c r="V37" s="52"/>
      <c r="W37" s="52">
        <f>Table1345[[#This Row],[Nutrition Target]]</f>
        <v>0</v>
      </c>
      <c r="X37" s="52"/>
      <c r="Y37" s="52"/>
      <c r="Z37" s="52"/>
      <c r="AA37" s="52">
        <f>Table1345[[#This Row],[Shelter/NFIs Target]]</f>
        <v>0</v>
      </c>
      <c r="AB37" s="52"/>
      <c r="AC37" s="52"/>
      <c r="AD37" s="52"/>
      <c r="AE37" s="52"/>
      <c r="AF37" s="52"/>
      <c r="AG37" s="66">
        <f>Table1345[[#This Row],[WASH Targets]]</f>
        <v>19141.858573772355</v>
      </c>
      <c r="AH37" s="52">
        <v>8782.2847136467572</v>
      </c>
      <c r="AI37" s="52">
        <v>10359.5738601256</v>
      </c>
      <c r="AJ37" s="52"/>
      <c r="AK37" s="52"/>
      <c r="AL37" s="52"/>
      <c r="AM37" s="84"/>
      <c r="AN37"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19141.858573772355</v>
      </c>
      <c r="AQ37" s="66">
        <f>Table13611[[#This Row],[Overall Intersectorial Final Target]]-(Table813[[#This Row],[IDPs]]+Table813[[#This Row],[Returnee Migrants]]+Table813[[#This Row],[Refugees]])</f>
        <v>19141.858573772355</v>
      </c>
      <c r="AR37" s="66">
        <f>Table8[[#This Row],[IDPs]]</f>
        <v>0</v>
      </c>
      <c r="AS37" s="66">
        <f>Table8[[#This Row],[Returnee Migrants]]</f>
        <v>0</v>
      </c>
      <c r="AT37" s="66">
        <f>Table13611[[#This Row],[Refugee Targets]]</f>
        <v>0</v>
      </c>
      <c r="AV37" s="79">
        <f>Table9[[#This Row],[2020 Inter-cluster Response ]]</f>
        <v>0</v>
      </c>
      <c r="AX37" s="79">
        <f>Table13611[[#This Row],[Overall Intersectorial PiN]]-Table13611[[#This Row],[Overall Intersectorial Final Target]]</f>
        <v>17234.840635111716</v>
      </c>
      <c r="AY37" s="4">
        <v>3</v>
      </c>
    </row>
    <row r="38" spans="1:51" x14ac:dyDescent="0.2">
      <c r="A38" s="3" t="s">
        <v>25</v>
      </c>
      <c r="B38" s="3" t="s">
        <v>32</v>
      </c>
      <c r="C38" s="223" t="s">
        <v>518</v>
      </c>
      <c r="D38" s="209">
        <f>Table136[[#This Row],[Overall Intersectorial Final PiN]]</f>
        <v>37393.757883051847</v>
      </c>
      <c r="E38" s="206">
        <f>Table1345[[#This Row],[CCCM_Target]]</f>
        <v>0</v>
      </c>
      <c r="F38" s="52"/>
      <c r="G38" s="52"/>
      <c r="H38" s="74">
        <v>0</v>
      </c>
      <c r="I38" s="52">
        <v>0</v>
      </c>
      <c r="J38" s="52">
        <v>0</v>
      </c>
      <c r="K38" s="74">
        <f>Table1345[[#This Row],[Education Target]]</f>
        <v>0</v>
      </c>
      <c r="L38" s="74">
        <v>0</v>
      </c>
      <c r="M38" s="74">
        <v>0</v>
      </c>
      <c r="N38" s="52">
        <f>Table1345[[#This Row],[FSC Target]]</f>
        <v>20861.235839999998</v>
      </c>
      <c r="O38" s="52"/>
      <c r="P38" s="52"/>
      <c r="Q38" s="51">
        <v>0</v>
      </c>
      <c r="R38" s="213">
        <v>0</v>
      </c>
      <c r="S38" s="52">
        <v>0</v>
      </c>
      <c r="T38" s="52">
        <f>0.65*Table1345[[#This Row],[Health PiN]]</f>
        <v>0</v>
      </c>
      <c r="U38" s="74"/>
      <c r="V38" s="52"/>
      <c r="W38" s="52">
        <f>Table1345[[#This Row],[Nutrition Target]]</f>
        <v>14035.12379210546</v>
      </c>
      <c r="X38" s="52">
        <v>4642.8089787597173</v>
      </c>
      <c r="Y38" s="52">
        <v>5029.709726989694</v>
      </c>
      <c r="Z38" s="52">
        <v>8725.2101727120989</v>
      </c>
      <c r="AA38" s="52">
        <f>Table1345[[#This Row],[Shelter/NFIs Target]]</f>
        <v>0</v>
      </c>
      <c r="AB38" s="52"/>
      <c r="AC38" s="52"/>
      <c r="AD38" s="52"/>
      <c r="AE38" s="52"/>
      <c r="AF38" s="52"/>
      <c r="AG38" s="66">
        <f>Table1345[[#This Row],[WASH Targets]]</f>
        <v>0</v>
      </c>
      <c r="AH38" s="52">
        <v>0</v>
      </c>
      <c r="AI38" s="52">
        <v>0</v>
      </c>
      <c r="AJ38" s="52"/>
      <c r="AK38" s="52"/>
      <c r="AL38" s="52"/>
      <c r="AM38" s="84"/>
      <c r="AN38"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20861.235839999998</v>
      </c>
      <c r="AQ38" s="66">
        <f>Table13611[[#This Row],[Overall Intersectorial Final Target]]-(Table813[[#This Row],[IDPs]]+Table813[[#This Row],[Returnee Migrants]]+Table813[[#This Row],[Refugees]])</f>
        <v>20861.235839999998</v>
      </c>
      <c r="AR38" s="66">
        <f>Table8[[#This Row],[IDPs]]</f>
        <v>0</v>
      </c>
      <c r="AS38" s="66">
        <f>Table8[[#This Row],[Returnee Migrants]]</f>
        <v>0</v>
      </c>
      <c r="AT38" s="66">
        <f>Table13611[[#This Row],[Refugee Targets]]</f>
        <v>0</v>
      </c>
      <c r="AV38" s="79">
        <f>Table9[[#This Row],[2020 Inter-cluster Response ]]</f>
        <v>18717</v>
      </c>
      <c r="AX38" s="79">
        <f>Table13611[[#This Row],[Overall Intersectorial PiN]]-Table13611[[#This Row],[Overall Intersectorial Final Target]]</f>
        <v>16532.522043051849</v>
      </c>
      <c r="AY38" s="4">
        <v>3</v>
      </c>
    </row>
    <row r="39" spans="1:51" x14ac:dyDescent="0.2">
      <c r="A39" s="3" t="s">
        <v>25</v>
      </c>
      <c r="B39" s="3" t="s">
        <v>101</v>
      </c>
      <c r="C39" s="223" t="s">
        <v>518</v>
      </c>
      <c r="D39" s="209">
        <f>Table136[[#This Row],[Overall Intersectorial Final PiN]]</f>
        <v>45972.878199463928</v>
      </c>
      <c r="E39" s="206">
        <f>Table1345[[#This Row],[CCCM_Target]]</f>
        <v>0</v>
      </c>
      <c r="F39" s="52"/>
      <c r="G39" s="52"/>
      <c r="H39" s="74">
        <v>1816.0154357279998</v>
      </c>
      <c r="I39" s="52">
        <v>635.60540250479994</v>
      </c>
      <c r="J39" s="52">
        <v>1180.4100332231999</v>
      </c>
      <c r="K39" s="74">
        <f>Table1345[[#This Row],[Education Target]]</f>
        <v>0</v>
      </c>
      <c r="L39" s="74">
        <v>8788.23</v>
      </c>
      <c r="M39" s="74">
        <v>8965.77</v>
      </c>
      <c r="N39" s="52">
        <f>Table1345[[#This Row],[FSC Target]]</f>
        <v>12092.332203</v>
      </c>
      <c r="O39" s="52"/>
      <c r="P39" s="52"/>
      <c r="Q39" s="51">
        <v>8500</v>
      </c>
      <c r="R39" s="213">
        <v>2210</v>
      </c>
      <c r="S39" s="52">
        <v>6290</v>
      </c>
      <c r="T39" s="52">
        <f>0.65*Table1345[[#This Row],[Health PiN]]</f>
        <v>29157.949718629698</v>
      </c>
      <c r="U39" s="74">
        <v>13412.656870569661</v>
      </c>
      <c r="V39" s="52">
        <v>15745.292848060039</v>
      </c>
      <c r="W39" s="52">
        <f>Table1345[[#This Row],[Nutrition Target]]</f>
        <v>0</v>
      </c>
      <c r="X39" s="52"/>
      <c r="Y39" s="52"/>
      <c r="Z39" s="52"/>
      <c r="AA39" s="52">
        <f>Table1345[[#This Row],[Shelter/NFIs Target]]</f>
        <v>0</v>
      </c>
      <c r="AB39" s="52"/>
      <c r="AC39" s="52"/>
      <c r="AD39" s="52"/>
      <c r="AE39" s="52"/>
      <c r="AF39" s="52"/>
      <c r="AG39" s="66">
        <f>Table1345[[#This Row],[WASH Targets]]</f>
        <v>32181.014739624748</v>
      </c>
      <c r="AH39" s="52">
        <v>14764.649562539833</v>
      </c>
      <c r="AI39" s="52">
        <v>17416.365177084914</v>
      </c>
      <c r="AJ39" s="52"/>
      <c r="AK39" s="52"/>
      <c r="AL39" s="52"/>
      <c r="AM39" s="84"/>
      <c r="AN39"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32181.014739624748</v>
      </c>
      <c r="AQ39" s="66">
        <f>Table13611[[#This Row],[Overall Intersectorial Final Target]]-(Table813[[#This Row],[IDPs]]+Table813[[#This Row],[Returnee Migrants]]+Table813[[#This Row],[Refugees]])</f>
        <v>32181.014739624748</v>
      </c>
      <c r="AR39" s="66">
        <f>Table8[[#This Row],[IDPs]]</f>
        <v>0</v>
      </c>
      <c r="AS39" s="66">
        <f>Table8[[#This Row],[Returnee Migrants]]</f>
        <v>0</v>
      </c>
      <c r="AT39" s="66">
        <f>Table13611[[#This Row],[Refugee Targets]]</f>
        <v>0</v>
      </c>
      <c r="AV39" s="79">
        <f>Table9[[#This Row],[2020 Inter-cluster Response ]]</f>
        <v>77480</v>
      </c>
      <c r="AX39" s="79">
        <f>Table13611[[#This Row],[Overall Intersectorial PiN]]-Table13611[[#This Row],[Overall Intersectorial Final Target]]</f>
        <v>13791.86345983918</v>
      </c>
      <c r="AY39" s="4">
        <v>4</v>
      </c>
    </row>
    <row r="40" spans="1:51" x14ac:dyDescent="0.2">
      <c r="A40" s="3" t="s">
        <v>35</v>
      </c>
      <c r="B40" s="3" t="s">
        <v>99</v>
      </c>
      <c r="C40" s="223" t="s">
        <v>518</v>
      </c>
      <c r="D40" s="209">
        <f>Table136[[#This Row],[Overall Intersectorial Final PiN]]</f>
        <v>58818</v>
      </c>
      <c r="E40" s="206">
        <f>Table1345[[#This Row],[CCCM_Target]]</f>
        <v>0</v>
      </c>
      <c r="F40" s="52"/>
      <c r="G40" s="52"/>
      <c r="H40" s="74">
        <v>3119.5428711508871</v>
      </c>
      <c r="I40" s="52">
        <v>1091.8400049028105</v>
      </c>
      <c r="J40" s="52">
        <v>2027.7028662480766</v>
      </c>
      <c r="K40" s="74">
        <f>Table1345[[#This Row],[Education Target]]</f>
        <v>0</v>
      </c>
      <c r="L40" s="74">
        <v>24687.134999999998</v>
      </c>
      <c r="M40" s="74">
        <v>25185.865000000002</v>
      </c>
      <c r="N40" s="52">
        <f>Table1345[[#This Row],[FSC Target]]</f>
        <v>56123.822399999997</v>
      </c>
      <c r="O40" s="52"/>
      <c r="P40" s="52"/>
      <c r="Q40" s="51">
        <v>10540</v>
      </c>
      <c r="R40" s="213">
        <v>2740.4</v>
      </c>
      <c r="S40" s="52">
        <v>7799.5999999999995</v>
      </c>
      <c r="T40" s="52">
        <f>0.65*Table1345[[#This Row],[Health PiN]]</f>
        <v>37497.023774153335</v>
      </c>
      <c r="U40" s="74">
        <v>17248.630936110534</v>
      </c>
      <c r="V40" s="52">
        <v>20248.392838042801</v>
      </c>
      <c r="W40" s="52">
        <f>Table1345[[#This Row],[Nutrition Target]]</f>
        <v>0</v>
      </c>
      <c r="X40" s="52"/>
      <c r="Y40" s="52"/>
      <c r="Z40" s="52"/>
      <c r="AA40" s="52">
        <f>Table1345[[#This Row],[Shelter/NFIs Target]]</f>
        <v>0</v>
      </c>
      <c r="AB40" s="52"/>
      <c r="AC40" s="52"/>
      <c r="AD40" s="52"/>
      <c r="AE40" s="52"/>
      <c r="AF40" s="52"/>
      <c r="AG40" s="66">
        <f>Table1345[[#This Row],[WASH Targets]]</f>
        <v>0</v>
      </c>
      <c r="AH40" s="52">
        <v>0</v>
      </c>
      <c r="AI40" s="52">
        <v>0</v>
      </c>
      <c r="AJ40" s="52"/>
      <c r="AK40" s="52"/>
      <c r="AL40" s="52"/>
      <c r="AM40" s="84"/>
      <c r="AN40"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56123.822399999997</v>
      </c>
      <c r="AQ40" s="66">
        <f>Table13611[[#This Row],[Overall Intersectorial Final Target]]-(Table813[[#This Row],[IDPs]]+Table813[[#This Row],[Returnee Migrants]]+Table813[[#This Row],[Refugees]])</f>
        <v>56123.822399999997</v>
      </c>
      <c r="AR40" s="66">
        <f>Table8[[#This Row],[IDPs]]</f>
        <v>0</v>
      </c>
      <c r="AS40" s="66">
        <f>Table8[[#This Row],[Returnee Migrants]]</f>
        <v>0</v>
      </c>
      <c r="AT40" s="66">
        <f>Table13611[[#This Row],[Refugee Targets]]</f>
        <v>0</v>
      </c>
      <c r="AV40" s="79">
        <f>Table9[[#This Row],[2020 Inter-cluster Response ]]</f>
        <v>76554</v>
      </c>
      <c r="AX40" s="79">
        <f>Table13611[[#This Row],[Overall Intersectorial PiN]]-Table13611[[#This Row],[Overall Intersectorial Final Target]]</f>
        <v>2694.1776000000027</v>
      </c>
      <c r="AY40" s="4">
        <v>3</v>
      </c>
    </row>
    <row r="41" spans="1:51" x14ac:dyDescent="0.2">
      <c r="A41" s="3" t="s">
        <v>35</v>
      </c>
      <c r="B41" s="3" t="s">
        <v>41</v>
      </c>
      <c r="C41" s="223" t="s">
        <v>517</v>
      </c>
      <c r="D41" s="209">
        <f>Table136[[#This Row],[Overall Intersectorial Final PiN]]</f>
        <v>22562.394974072144</v>
      </c>
      <c r="E41" s="206">
        <f>Table1345[[#This Row],[CCCM_Target]]</f>
        <v>0</v>
      </c>
      <c r="F41" s="52"/>
      <c r="G41" s="52"/>
      <c r="H41" s="74">
        <v>0</v>
      </c>
      <c r="I41" s="52">
        <v>0</v>
      </c>
      <c r="J41" s="52">
        <v>0</v>
      </c>
      <c r="K41" s="74">
        <f>Table1345[[#This Row],[Education Target]]</f>
        <v>0</v>
      </c>
      <c r="L41" s="74">
        <v>0</v>
      </c>
      <c r="M41" s="74">
        <v>0</v>
      </c>
      <c r="N41" s="52">
        <f>Table1345[[#This Row],[FSC Target]]</f>
        <v>20000</v>
      </c>
      <c r="O41" s="52"/>
      <c r="P41" s="52"/>
      <c r="Q41" s="51">
        <v>3300</v>
      </c>
      <c r="R41" s="213">
        <v>857.99999999999989</v>
      </c>
      <c r="S41" s="52">
        <v>2442</v>
      </c>
      <c r="T41" s="52">
        <f>0.65*Table1345[[#This Row],[Health PiN]]</f>
        <v>5545.2649292454462</v>
      </c>
      <c r="U41" s="74">
        <v>2550.8218674529053</v>
      </c>
      <c r="V41" s="52">
        <v>2994.4430617925414</v>
      </c>
      <c r="W41" s="52">
        <f>Table1345[[#This Row],[Nutrition Target]]</f>
        <v>0</v>
      </c>
      <c r="X41" s="52"/>
      <c r="Y41" s="52"/>
      <c r="Z41" s="52"/>
      <c r="AA41" s="52">
        <f>Table1345[[#This Row],[Shelter/NFIs Target]]</f>
        <v>0</v>
      </c>
      <c r="AB41" s="52"/>
      <c r="AC41" s="52"/>
      <c r="AD41" s="52"/>
      <c r="AE41" s="52"/>
      <c r="AF41" s="52"/>
      <c r="AG41" s="66">
        <f>Table1345[[#This Row],[WASH Targets]]</f>
        <v>11522.628424406121</v>
      </c>
      <c r="AH41" s="52">
        <v>5286.5819211175276</v>
      </c>
      <c r="AI41" s="52">
        <v>6236.0465032885922</v>
      </c>
      <c r="AJ41" s="52"/>
      <c r="AK41" s="52"/>
      <c r="AL41" s="52"/>
      <c r="AM41" s="84"/>
      <c r="AN41"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20000</v>
      </c>
      <c r="AQ41" s="66">
        <f>Table13611[[#This Row],[Overall Intersectorial Final Target]]-(Table813[[#This Row],[IDPs]]+Table813[[#This Row],[Returnee Migrants]]+Table813[[#This Row],[Refugees]])</f>
        <v>20000</v>
      </c>
      <c r="AR41" s="66">
        <f>Table8[[#This Row],[IDPs]]</f>
        <v>0</v>
      </c>
      <c r="AS41" s="66">
        <f>Table8[[#This Row],[Returnee Migrants]]</f>
        <v>0</v>
      </c>
      <c r="AT41" s="66">
        <f>Table13611[[#This Row],[Refugee Targets]]</f>
        <v>0</v>
      </c>
      <c r="AV41" s="79">
        <f>Table9[[#This Row],[2020 Inter-cluster Response ]]</f>
        <v>0</v>
      </c>
      <c r="AX41" s="79">
        <f>Table13611[[#This Row],[Overall Intersectorial PiN]]-Table13611[[#This Row],[Overall Intersectorial Final Target]]</f>
        <v>2562.3949740721437</v>
      </c>
      <c r="AY41" s="4">
        <v>3</v>
      </c>
    </row>
    <row r="42" spans="1:51" x14ac:dyDescent="0.2">
      <c r="A42" s="3" t="s">
        <v>35</v>
      </c>
      <c r="B42" s="3" t="s">
        <v>40</v>
      </c>
      <c r="C42" s="223" t="s">
        <v>517</v>
      </c>
      <c r="D42" s="209">
        <f>Table136[[#This Row],[Overall Intersectorial Final PiN]]</f>
        <v>49598.736603060657</v>
      </c>
      <c r="E42" s="206">
        <f>Table1345[[#This Row],[CCCM_Target]]</f>
        <v>0</v>
      </c>
      <c r="F42" s="52"/>
      <c r="G42" s="52"/>
      <c r="H42" s="74">
        <v>0</v>
      </c>
      <c r="I42" s="52">
        <v>0</v>
      </c>
      <c r="J42" s="52">
        <v>0</v>
      </c>
      <c r="K42" s="74">
        <f>Table1345[[#This Row],[Education Target]]</f>
        <v>0</v>
      </c>
      <c r="L42" s="74">
        <v>0</v>
      </c>
      <c r="M42" s="74">
        <v>0</v>
      </c>
      <c r="N42" s="52">
        <f>Table1345[[#This Row],[FSC Target]]</f>
        <v>30000</v>
      </c>
      <c r="O42" s="52"/>
      <c r="P42" s="52"/>
      <c r="Q42" s="51">
        <v>0</v>
      </c>
      <c r="R42" s="213">
        <v>0</v>
      </c>
      <c r="S42" s="52">
        <v>0</v>
      </c>
      <c r="T42" s="52">
        <f>0.65*Table1345[[#This Row],[Health PiN]]</f>
        <v>31695.525318581622</v>
      </c>
      <c r="U42" s="74">
        <v>14579.941646547546</v>
      </c>
      <c r="V42" s="52">
        <v>17115.583672034078</v>
      </c>
      <c r="W42" s="52">
        <f>Table1345[[#This Row],[Nutrition Target]]</f>
        <v>0</v>
      </c>
      <c r="X42" s="52"/>
      <c r="Y42" s="52"/>
      <c r="Z42" s="52"/>
      <c r="AA42" s="52">
        <f>Table1345[[#This Row],[Shelter/NFIs Target]]</f>
        <v>0</v>
      </c>
      <c r="AB42" s="52"/>
      <c r="AC42" s="52"/>
      <c r="AD42" s="52"/>
      <c r="AE42" s="52"/>
      <c r="AF42" s="52"/>
      <c r="AG42" s="66">
        <f>Table1345[[#This Row],[WASH Targets]]</f>
        <v>0</v>
      </c>
      <c r="AH42" s="52">
        <v>0</v>
      </c>
      <c r="AI42" s="52">
        <v>0</v>
      </c>
      <c r="AJ42" s="52"/>
      <c r="AK42" s="52"/>
      <c r="AL42" s="52"/>
      <c r="AM42" s="84"/>
      <c r="AN42"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31695.525318581622</v>
      </c>
      <c r="AQ42" s="66">
        <f>Table13611[[#This Row],[Overall Intersectorial Final Target]]-(Table813[[#This Row],[IDPs]]+Table813[[#This Row],[Returnee Migrants]]+Table813[[#This Row],[Refugees]])</f>
        <v>31695.525318581622</v>
      </c>
      <c r="AR42" s="66">
        <f>Table8[[#This Row],[IDPs]]</f>
        <v>0</v>
      </c>
      <c r="AS42" s="66">
        <f>Table8[[#This Row],[Returnee Migrants]]</f>
        <v>0</v>
      </c>
      <c r="AT42" s="66">
        <f>Table13611[[#This Row],[Refugee Targets]]</f>
        <v>0</v>
      </c>
      <c r="AV42" s="79">
        <f>Table9[[#This Row],[2020 Inter-cluster Response ]]</f>
        <v>0</v>
      </c>
      <c r="AX42" s="79">
        <f>Table13611[[#This Row],[Overall Intersectorial PiN]]-Table13611[[#This Row],[Overall Intersectorial Final Target]]</f>
        <v>17903.211284479035</v>
      </c>
      <c r="AY42" s="4">
        <v>3</v>
      </c>
    </row>
    <row r="43" spans="1:51" x14ac:dyDescent="0.2">
      <c r="A43" s="3" t="s">
        <v>35</v>
      </c>
      <c r="B43" s="3" t="s">
        <v>36</v>
      </c>
      <c r="C43" s="223" t="s">
        <v>518</v>
      </c>
      <c r="D43" s="209">
        <f>Table136[[#This Row],[Overall Intersectorial Final PiN]]</f>
        <v>135951.90533155395</v>
      </c>
      <c r="E43" s="206">
        <f>Table1345[[#This Row],[CCCM_Target]]</f>
        <v>0</v>
      </c>
      <c r="F43" s="52"/>
      <c r="G43" s="52"/>
      <c r="H43" s="74">
        <v>5368.2661766017882</v>
      </c>
      <c r="I43" s="52">
        <v>1878.8931618106258</v>
      </c>
      <c r="J43" s="52">
        <v>3489.3730147911624</v>
      </c>
      <c r="K43" s="74">
        <f>Table1345[[#This Row],[Education Target]]</f>
        <v>0</v>
      </c>
      <c r="L43" s="74">
        <v>33059.565000000002</v>
      </c>
      <c r="M43" s="74">
        <v>33727.434999999998</v>
      </c>
      <c r="N43" s="52">
        <f>Table1345[[#This Row],[FSC Target]]</f>
        <v>86161.892479999995</v>
      </c>
      <c r="O43" s="52"/>
      <c r="P43" s="52"/>
      <c r="Q43" s="51">
        <v>20900</v>
      </c>
      <c r="R43" s="213">
        <v>5434</v>
      </c>
      <c r="S43" s="52">
        <v>15466</v>
      </c>
      <c r="T43" s="52">
        <f>0.65*Table1345[[#This Row],[Health PiN]]</f>
        <v>80335.216786827339</v>
      </c>
      <c r="U43" s="74">
        <v>36954.199721940575</v>
      </c>
      <c r="V43" s="52">
        <v>43381.017064886764</v>
      </c>
      <c r="W43" s="52">
        <f>Table1345[[#This Row],[Nutrition Target]]</f>
        <v>0</v>
      </c>
      <c r="X43" s="52"/>
      <c r="Y43" s="52"/>
      <c r="Z43" s="52"/>
      <c r="AA43" s="52">
        <f>Table1345[[#This Row],[Shelter/NFIs Target]]</f>
        <v>0</v>
      </c>
      <c r="AB43" s="52"/>
      <c r="AC43" s="52"/>
      <c r="AD43" s="52"/>
      <c r="AE43" s="52"/>
      <c r="AF43" s="52"/>
      <c r="AG43" s="66">
        <f>Table1345[[#This Row],[WASH Targets]]</f>
        <v>95166.333732087762</v>
      </c>
      <c r="AH43" s="52">
        <v>43662.313916281862</v>
      </c>
      <c r="AI43" s="52">
        <v>51504.019815805899</v>
      </c>
      <c r="AJ43" s="52"/>
      <c r="AK43" s="52"/>
      <c r="AL43" s="52"/>
      <c r="AM43" s="84"/>
      <c r="AN43"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95166.333732087762</v>
      </c>
      <c r="AQ43" s="66">
        <f>Table13611[[#This Row],[Overall Intersectorial Final Target]]-(Table813[[#This Row],[IDPs]]+Table813[[#This Row],[Returnee Migrants]]+Table813[[#This Row],[Refugees]])</f>
        <v>95166.333732087762</v>
      </c>
      <c r="AR43" s="66">
        <f>Table8[[#This Row],[IDPs]]</f>
        <v>0</v>
      </c>
      <c r="AS43" s="66">
        <f>Table8[[#This Row],[Returnee Migrants]]</f>
        <v>0</v>
      </c>
      <c r="AT43" s="66">
        <f>Table13611[[#This Row],[Refugee Targets]]</f>
        <v>0</v>
      </c>
      <c r="AV43" s="79">
        <f>Table9[[#This Row],[2020 Inter-cluster Response ]]</f>
        <v>87391</v>
      </c>
      <c r="AX43" s="79">
        <f>Table13611[[#This Row],[Overall Intersectorial PiN]]-Table13611[[#This Row],[Overall Intersectorial Final Target]]</f>
        <v>40785.571599466188</v>
      </c>
      <c r="AY43" s="4">
        <v>4</v>
      </c>
    </row>
    <row r="44" spans="1:51" x14ac:dyDescent="0.2">
      <c r="A44" s="3" t="s">
        <v>35</v>
      </c>
      <c r="B44" s="3" t="s">
        <v>37</v>
      </c>
      <c r="C44" s="223" t="s">
        <v>517</v>
      </c>
      <c r="D44" s="209">
        <f>Table136[[#This Row],[Overall Intersectorial Final PiN]]</f>
        <v>50508.189929658758</v>
      </c>
      <c r="E44" s="206">
        <f>Table1345[[#This Row],[CCCM_Target]]</f>
        <v>0</v>
      </c>
      <c r="F44" s="52"/>
      <c r="G44" s="52"/>
      <c r="H44" s="74">
        <v>0</v>
      </c>
      <c r="I44" s="52">
        <v>0</v>
      </c>
      <c r="J44" s="52">
        <v>0</v>
      </c>
      <c r="K44" s="74">
        <f>Table1345[[#This Row],[Education Target]]</f>
        <v>0</v>
      </c>
      <c r="L44" s="74">
        <v>0</v>
      </c>
      <c r="M44" s="74">
        <v>0</v>
      </c>
      <c r="N44" s="52">
        <f>Table1345[[#This Row],[FSC Target]]</f>
        <v>0</v>
      </c>
      <c r="O44" s="52"/>
      <c r="P44" s="52"/>
      <c r="Q44" s="51">
        <v>1885</v>
      </c>
      <c r="R44" s="213">
        <v>494</v>
      </c>
      <c r="S44" s="52">
        <v>1391</v>
      </c>
      <c r="T44" s="52">
        <f>0.65*Table1345[[#This Row],[Health PiN]]</f>
        <v>22565.567611676706</v>
      </c>
      <c r="U44" s="74">
        <v>10380.161101371285</v>
      </c>
      <c r="V44" s="52">
        <v>12185.406510305422</v>
      </c>
      <c r="W44" s="52">
        <f>Table1345[[#This Row],[Nutrition Target]]</f>
        <v>0</v>
      </c>
      <c r="X44" s="52"/>
      <c r="Y44" s="52"/>
      <c r="Z44" s="52"/>
      <c r="AA44" s="52">
        <f>Table1345[[#This Row],[Shelter/NFIs Target]]</f>
        <v>0</v>
      </c>
      <c r="AB44" s="52"/>
      <c r="AC44" s="52"/>
      <c r="AD44" s="52"/>
      <c r="AE44" s="52"/>
      <c r="AF44" s="52"/>
      <c r="AG44" s="66">
        <f>Table1345[[#This Row],[WASH Targets]]</f>
        <v>20251.150420735506</v>
      </c>
      <c r="AH44" s="52">
        <v>9291.2278130334489</v>
      </c>
      <c r="AI44" s="52">
        <v>10959.922607702056</v>
      </c>
      <c r="AJ44" s="52"/>
      <c r="AK44" s="52"/>
      <c r="AL44" s="52"/>
      <c r="AM44" s="84"/>
      <c r="AN44"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22565.567611676706</v>
      </c>
      <c r="AQ44" s="66">
        <f>Table13611[[#This Row],[Overall Intersectorial Final Target]]-(Table813[[#This Row],[IDPs]]+Table813[[#This Row],[Returnee Migrants]]+Table813[[#This Row],[Refugees]])</f>
        <v>22565.567611676706</v>
      </c>
      <c r="AR44" s="66">
        <f>Table8[[#This Row],[IDPs]]</f>
        <v>0</v>
      </c>
      <c r="AS44" s="66">
        <f>Table8[[#This Row],[Returnee Migrants]]</f>
        <v>0</v>
      </c>
      <c r="AT44" s="66">
        <f>Table13611[[#This Row],[Refugee Targets]]</f>
        <v>0</v>
      </c>
      <c r="AV44" s="79">
        <f>Table9[[#This Row],[2020 Inter-cluster Response ]]</f>
        <v>0</v>
      </c>
      <c r="AX44" s="79">
        <f>Table13611[[#This Row],[Overall Intersectorial PiN]]-Table13611[[#This Row],[Overall Intersectorial Final Target]]</f>
        <v>27942.622317982052</v>
      </c>
      <c r="AY44" s="4">
        <v>3</v>
      </c>
    </row>
    <row r="45" spans="1:51" x14ac:dyDescent="0.2">
      <c r="A45" s="3" t="s">
        <v>35</v>
      </c>
      <c r="B45" s="3" t="s">
        <v>100</v>
      </c>
      <c r="C45" s="223" t="s">
        <v>518</v>
      </c>
      <c r="D45" s="209">
        <f>Table136[[#This Row],[Overall Intersectorial Final PiN]]</f>
        <v>29509.739004459076</v>
      </c>
      <c r="E45" s="206">
        <f>Table1345[[#This Row],[CCCM_Target]]</f>
        <v>0</v>
      </c>
      <c r="F45" s="52"/>
      <c r="G45" s="52"/>
      <c r="H45" s="74">
        <v>968.66269669710096</v>
      </c>
      <c r="I45" s="52">
        <v>339.03194384398529</v>
      </c>
      <c r="J45" s="52">
        <v>629.63075285311561</v>
      </c>
      <c r="K45" s="74">
        <f>Table1345[[#This Row],[Education Target]]</f>
        <v>18562</v>
      </c>
      <c r="L45" s="74">
        <v>9188.19</v>
      </c>
      <c r="M45" s="74">
        <v>9373.81</v>
      </c>
      <c r="N45" s="52">
        <f>Table1345[[#This Row],[FSC Target]]</f>
        <v>7851.4991799999998</v>
      </c>
      <c r="O45" s="52"/>
      <c r="P45" s="52"/>
      <c r="Q45" s="51">
        <v>2000.0000000000002</v>
      </c>
      <c r="R45" s="213">
        <v>520</v>
      </c>
      <c r="S45" s="52">
        <v>1480.0000000000002</v>
      </c>
      <c r="T45" s="52">
        <f>0.65*Table1345[[#This Row],[Health PiN]]</f>
        <v>0</v>
      </c>
      <c r="U45" s="74"/>
      <c r="V45" s="52"/>
      <c r="W45" s="52">
        <f>Table1345[[#This Row],[Nutrition Target]]</f>
        <v>5804.6174336490385</v>
      </c>
      <c r="X45" s="52"/>
      <c r="Y45" s="52"/>
      <c r="Z45" s="52"/>
      <c r="AA45" s="52">
        <f>Table1345[[#This Row],[Shelter/NFIs Target]]</f>
        <v>0</v>
      </c>
      <c r="AB45" s="52"/>
      <c r="AC45" s="52"/>
      <c r="AD45" s="52"/>
      <c r="AE45" s="52"/>
      <c r="AF45" s="52"/>
      <c r="AG45" s="66">
        <f>Table1345[[#This Row],[WASH Targets]]</f>
        <v>20656.817303121352</v>
      </c>
      <c r="AH45" s="52">
        <v>9477.3477786720741</v>
      </c>
      <c r="AI45" s="52">
        <v>11179.469524449278</v>
      </c>
      <c r="AJ45" s="52"/>
      <c r="AK45" s="52"/>
      <c r="AL45" s="52"/>
      <c r="AM45" s="84"/>
      <c r="AN45"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20656.817303121352</v>
      </c>
      <c r="AQ45" s="66">
        <f>Table13611[[#This Row],[Overall Intersectorial Final Target]]-(Table813[[#This Row],[IDPs]]+Table813[[#This Row],[Returnee Migrants]]+Table813[[#This Row],[Refugees]])</f>
        <v>20656.817303121352</v>
      </c>
      <c r="AR45" s="66">
        <f>Table8[[#This Row],[IDPs]]</f>
        <v>0</v>
      </c>
      <c r="AS45" s="66">
        <f>Table8[[#This Row],[Returnee Migrants]]</f>
        <v>0</v>
      </c>
      <c r="AT45" s="66">
        <f>Table13611[[#This Row],[Refugee Targets]]</f>
        <v>0</v>
      </c>
      <c r="AV45" s="79">
        <f>Table9[[#This Row],[2020 Inter-cluster Response ]]</f>
        <v>36670</v>
      </c>
      <c r="AX45" s="79">
        <f>Table13611[[#This Row],[Overall Intersectorial PiN]]-Table13611[[#This Row],[Overall Intersectorial Final Target]]</f>
        <v>8852.9217013377238</v>
      </c>
      <c r="AY45" s="4">
        <v>3</v>
      </c>
    </row>
    <row r="46" spans="1:51" x14ac:dyDescent="0.2">
      <c r="A46" s="3" t="s">
        <v>35</v>
      </c>
      <c r="B46" s="3" t="s">
        <v>42</v>
      </c>
      <c r="C46" s="223" t="s">
        <v>517</v>
      </c>
      <c r="D46" s="209">
        <f>Table136[[#This Row],[Overall Intersectorial Final PiN]]</f>
        <v>15535.563366154058</v>
      </c>
      <c r="E46" s="206">
        <f>Table1345[[#This Row],[CCCM_Target]]</f>
        <v>0</v>
      </c>
      <c r="F46" s="52"/>
      <c r="G46" s="52"/>
      <c r="H46" s="74">
        <v>0</v>
      </c>
      <c r="I46" s="52">
        <v>0</v>
      </c>
      <c r="J46" s="52">
        <v>0</v>
      </c>
      <c r="K46" s="74">
        <f>Table1345[[#This Row],[Education Target]]</f>
        <v>0</v>
      </c>
      <c r="L46" s="74">
        <v>0</v>
      </c>
      <c r="M46" s="74">
        <v>0</v>
      </c>
      <c r="N46" s="52">
        <f>Table1345[[#This Row],[FSC Target]]</f>
        <v>10000</v>
      </c>
      <c r="O46" s="52"/>
      <c r="P46" s="52"/>
      <c r="Q46" s="51">
        <v>0</v>
      </c>
      <c r="R46" s="213">
        <v>0</v>
      </c>
      <c r="S46" s="52">
        <v>0</v>
      </c>
      <c r="T46" s="52">
        <f>0.65*Table1345[[#This Row],[Health PiN]]</f>
        <v>0</v>
      </c>
      <c r="U46" s="74"/>
      <c r="V46" s="52"/>
      <c r="W46" s="52">
        <f>Table1345[[#This Row],[Nutrition Target]]</f>
        <v>3700.8321552877624</v>
      </c>
      <c r="X46" s="52">
        <v>1271.1266078984802</v>
      </c>
      <c r="Y46" s="52">
        <v>1271.1266078984802</v>
      </c>
      <c r="Z46" s="52">
        <v>2317.1578789816044</v>
      </c>
      <c r="AA46" s="52">
        <f>Table1345[[#This Row],[Shelter/NFIs Target]]</f>
        <v>0</v>
      </c>
      <c r="AB46" s="52"/>
      <c r="AC46" s="52"/>
      <c r="AD46" s="52"/>
      <c r="AE46" s="52"/>
      <c r="AF46" s="52"/>
      <c r="AG46" s="66">
        <f>Table1345[[#This Row],[WASH Targets]]</f>
        <v>0</v>
      </c>
      <c r="AH46" s="52">
        <v>0</v>
      </c>
      <c r="AI46" s="52">
        <v>0</v>
      </c>
      <c r="AJ46" s="52"/>
      <c r="AK46" s="52"/>
      <c r="AL46" s="52"/>
      <c r="AM46" s="84"/>
      <c r="AN46"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10000</v>
      </c>
      <c r="AQ46" s="66">
        <f>Table13611[[#This Row],[Overall Intersectorial Final Target]]-(Table813[[#This Row],[IDPs]]+Table813[[#This Row],[Returnee Migrants]]+Table813[[#This Row],[Refugees]])</f>
        <v>10000</v>
      </c>
      <c r="AR46" s="66">
        <f>Table8[[#This Row],[IDPs]]</f>
        <v>0</v>
      </c>
      <c r="AS46" s="66">
        <f>Table8[[#This Row],[Returnee Migrants]]</f>
        <v>0</v>
      </c>
      <c r="AT46" s="66">
        <f>Table13611[[#This Row],[Refugee Targets]]</f>
        <v>0</v>
      </c>
      <c r="AV46" s="79">
        <f>Table9[[#This Row],[2020 Inter-cluster Response ]]</f>
        <v>0</v>
      </c>
      <c r="AX46" s="79">
        <f>Table13611[[#This Row],[Overall Intersectorial PiN]]-Table13611[[#This Row],[Overall Intersectorial Final Target]]</f>
        <v>5535.5633661540578</v>
      </c>
      <c r="AY46" s="4">
        <v>3</v>
      </c>
    </row>
    <row r="47" spans="1:51" x14ac:dyDescent="0.2">
      <c r="A47" s="3" t="s">
        <v>35</v>
      </c>
      <c r="B47" s="3" t="s">
        <v>44</v>
      </c>
      <c r="C47" s="223" t="s">
        <v>517</v>
      </c>
      <c r="D47" s="209">
        <f>Table136[[#This Row],[Overall Intersectorial Final PiN]]</f>
        <v>15625.099018350136</v>
      </c>
      <c r="E47" s="206">
        <f>Table1345[[#This Row],[CCCM_Target]]</f>
        <v>0</v>
      </c>
      <c r="F47" s="52"/>
      <c r="G47" s="52"/>
      <c r="H47" s="74">
        <v>0</v>
      </c>
      <c r="I47" s="52">
        <v>0</v>
      </c>
      <c r="J47" s="52">
        <v>0</v>
      </c>
      <c r="K47" s="74">
        <f>Table1345[[#This Row],[Education Target]]</f>
        <v>0</v>
      </c>
      <c r="L47" s="74">
        <v>0</v>
      </c>
      <c r="M47" s="74">
        <v>0</v>
      </c>
      <c r="N47" s="52">
        <f>Table1345[[#This Row],[FSC Target]]</f>
        <v>0</v>
      </c>
      <c r="O47" s="52"/>
      <c r="P47" s="52"/>
      <c r="Q47" s="51">
        <v>5280</v>
      </c>
      <c r="R47" s="213">
        <v>2112</v>
      </c>
      <c r="S47" s="52">
        <v>3168</v>
      </c>
      <c r="T47" s="52">
        <f>0.65*Table1345[[#This Row],[Health PiN]]</f>
        <v>6980.8327882817366</v>
      </c>
      <c r="U47" s="74">
        <v>3211.1830826095988</v>
      </c>
      <c r="V47" s="52">
        <v>3769.6497056721382</v>
      </c>
      <c r="W47" s="52">
        <f>Table1345[[#This Row],[Nutrition Target]]</f>
        <v>4002.3441319481963</v>
      </c>
      <c r="X47" s="52">
        <v>1374.6870721539422</v>
      </c>
      <c r="Y47" s="52">
        <v>1374.6870721539422</v>
      </c>
      <c r="Z47" s="52">
        <v>2505.9399752806239</v>
      </c>
      <c r="AA47" s="52">
        <f>Table1345[[#This Row],[Shelter/NFIs Target]]</f>
        <v>0</v>
      </c>
      <c r="AB47" s="52"/>
      <c r="AC47" s="52"/>
      <c r="AD47" s="52"/>
      <c r="AE47" s="52"/>
      <c r="AF47" s="52"/>
      <c r="AG47" s="66">
        <f>Table1345[[#This Row],[WASH Targets]]</f>
        <v>0</v>
      </c>
      <c r="AH47" s="52">
        <v>0</v>
      </c>
      <c r="AI47" s="52">
        <v>0</v>
      </c>
      <c r="AJ47" s="52"/>
      <c r="AK47" s="52"/>
      <c r="AL47" s="52"/>
      <c r="AM47" s="84"/>
      <c r="AN47"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6980.8327882817366</v>
      </c>
      <c r="AQ47" s="66">
        <f>Table13611[[#This Row],[Overall Intersectorial Final Target]]-(Table813[[#This Row],[IDPs]]+Table813[[#This Row],[Returnee Migrants]]+Table813[[#This Row],[Refugees]])</f>
        <v>6980.8327882817366</v>
      </c>
      <c r="AR47" s="66">
        <f>Table8[[#This Row],[IDPs]]</f>
        <v>0</v>
      </c>
      <c r="AS47" s="66">
        <f>Table8[[#This Row],[Returnee Migrants]]</f>
        <v>0</v>
      </c>
      <c r="AT47" s="66">
        <f>Table13611[[#This Row],[Refugee Targets]]</f>
        <v>0</v>
      </c>
      <c r="AV47" s="79">
        <f>Table9[[#This Row],[2020 Inter-cluster Response ]]</f>
        <v>0</v>
      </c>
      <c r="AX47" s="79">
        <f>Table13611[[#This Row],[Overall Intersectorial PiN]]-Table13611[[#This Row],[Overall Intersectorial Final Target]]</f>
        <v>8644.2662300683987</v>
      </c>
      <c r="AY47" s="4">
        <v>3</v>
      </c>
    </row>
    <row r="48" spans="1:51" x14ac:dyDescent="0.2">
      <c r="A48" s="3" t="s">
        <v>35</v>
      </c>
      <c r="B48" s="3" t="s">
        <v>38</v>
      </c>
      <c r="C48" s="223" t="s">
        <v>518</v>
      </c>
      <c r="D48" s="209">
        <f>Table136[[#This Row],[Overall Intersectorial Final PiN]]</f>
        <v>96074.256101264211</v>
      </c>
      <c r="E48" s="206">
        <f>Table1345[[#This Row],[CCCM_Target]]</f>
        <v>0</v>
      </c>
      <c r="F48" s="52"/>
      <c r="G48" s="52"/>
      <c r="H48" s="74">
        <v>2861.4197794522524</v>
      </c>
      <c r="I48" s="52">
        <v>1001.4969228082883</v>
      </c>
      <c r="J48" s="52">
        <v>1859.9228566439642</v>
      </c>
      <c r="K48" s="74">
        <f>Table1345[[#This Row],[Education Target]]</f>
        <v>0</v>
      </c>
      <c r="L48" s="74">
        <v>27774.45</v>
      </c>
      <c r="M48" s="74">
        <v>28335.55</v>
      </c>
      <c r="N48" s="52">
        <f>Table1345[[#This Row],[FSC Target]]</f>
        <v>32238.899839999998</v>
      </c>
      <c r="O48" s="52"/>
      <c r="P48" s="52"/>
      <c r="Q48" s="51">
        <v>10000</v>
      </c>
      <c r="R48" s="213">
        <v>2600</v>
      </c>
      <c r="S48" s="52">
        <v>7400</v>
      </c>
      <c r="T48" s="52">
        <f>0.65*Table1345[[#This Row],[Health PiN]]</f>
        <v>62448.26646582174</v>
      </c>
      <c r="U48" s="74">
        <v>28726.202574278002</v>
      </c>
      <c r="V48" s="52">
        <v>33722.063891543745</v>
      </c>
      <c r="W48" s="52">
        <f>Table1345[[#This Row],[Nutrition Target]]</f>
        <v>21651.294354980902</v>
      </c>
      <c r="X48" s="52">
        <v>7463.0482139462038</v>
      </c>
      <c r="Y48" s="52">
        <v>7463.0482139462038</v>
      </c>
      <c r="Z48" s="52">
        <v>13450.395854176992</v>
      </c>
      <c r="AA48" s="52">
        <f>Table1345[[#This Row],[Shelter/NFIs Target]]</f>
        <v>0</v>
      </c>
      <c r="AB48" s="52"/>
      <c r="AC48" s="52"/>
      <c r="AD48" s="52"/>
      <c r="AE48" s="52"/>
      <c r="AF48" s="52"/>
      <c r="AG48" s="66">
        <f>Table1345[[#This Row],[WASH Targets]]</f>
        <v>47076.385489619453</v>
      </c>
      <c r="AH48" s="52">
        <v>21598.645662637402</v>
      </c>
      <c r="AI48" s="52">
        <v>25477.739826982048</v>
      </c>
      <c r="AJ48" s="52"/>
      <c r="AK48" s="52"/>
      <c r="AL48" s="52"/>
      <c r="AM48" s="84"/>
      <c r="AN48"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62448.26646582174</v>
      </c>
      <c r="AQ48" s="66">
        <f>Table13611[[#This Row],[Overall Intersectorial Final Target]]-(Table813[[#This Row],[IDPs]]+Table813[[#This Row],[Returnee Migrants]]+Table813[[#This Row],[Refugees]])</f>
        <v>62448.26646582174</v>
      </c>
      <c r="AR48" s="66">
        <f>Table8[[#This Row],[IDPs]]</f>
        <v>0</v>
      </c>
      <c r="AS48" s="66">
        <f>Table8[[#This Row],[Returnee Migrants]]</f>
        <v>0</v>
      </c>
      <c r="AT48" s="66">
        <f>Table13611[[#This Row],[Refugee Targets]]</f>
        <v>0</v>
      </c>
      <c r="AV48" s="79">
        <f>Table9[[#This Row],[2020 Inter-cluster Response ]]</f>
        <v>39932</v>
      </c>
      <c r="AX48" s="79">
        <f>Table13611[[#This Row],[Overall Intersectorial PiN]]-Table13611[[#This Row],[Overall Intersectorial Final Target]]</f>
        <v>33625.989635442471</v>
      </c>
      <c r="AY48" s="4">
        <v>4</v>
      </c>
    </row>
    <row r="49" spans="1:51" x14ac:dyDescent="0.2">
      <c r="A49" s="3" t="s">
        <v>35</v>
      </c>
      <c r="B49" s="3" t="s">
        <v>45</v>
      </c>
      <c r="C49" s="223" t="s">
        <v>518</v>
      </c>
      <c r="D49" s="209">
        <f>Table136[[#This Row],[Overall Intersectorial Final PiN]]</f>
        <v>44396.993750685913</v>
      </c>
      <c r="E49" s="206">
        <f>Table1345[[#This Row],[CCCM_Target]]</f>
        <v>0</v>
      </c>
      <c r="F49" s="52"/>
      <c r="G49" s="52"/>
      <c r="H49" s="74">
        <v>0</v>
      </c>
      <c r="I49" s="52">
        <v>0</v>
      </c>
      <c r="J49" s="52">
        <v>0</v>
      </c>
      <c r="K49" s="74">
        <f>Table1345[[#This Row],[Education Target]]</f>
        <v>0</v>
      </c>
      <c r="L49" s="74">
        <v>10440.539999999999</v>
      </c>
      <c r="M49" s="74">
        <v>10651.460000000001</v>
      </c>
      <c r="N49" s="52">
        <f>Table1345[[#This Row],[FSC Target]]</f>
        <v>27309.338879999999</v>
      </c>
      <c r="O49" s="52"/>
      <c r="P49" s="52"/>
      <c r="Q49" s="51">
        <v>0</v>
      </c>
      <c r="R49" s="213">
        <v>0</v>
      </c>
      <c r="S49" s="52">
        <v>0</v>
      </c>
      <c r="T49" s="52">
        <f>0.65*Table1345[[#This Row],[Health PiN]]</f>
        <v>25462.981709952212</v>
      </c>
      <c r="U49" s="74">
        <v>11712.971586578018</v>
      </c>
      <c r="V49" s="52">
        <v>13750.010123374195</v>
      </c>
      <c r="W49" s="52">
        <f>Table1345[[#This Row],[Nutrition Target]]</f>
        <v>0</v>
      </c>
      <c r="X49" s="52"/>
      <c r="Y49" s="52"/>
      <c r="Z49" s="52"/>
      <c r="AA49" s="52">
        <f>Table1345[[#This Row],[Shelter/NFIs Target]]</f>
        <v>0</v>
      </c>
      <c r="AB49" s="52"/>
      <c r="AC49" s="52"/>
      <c r="AD49" s="52"/>
      <c r="AE49" s="52"/>
      <c r="AF49" s="52"/>
      <c r="AG49" s="66">
        <f>Table1345[[#This Row],[WASH Targets]]</f>
        <v>31077.895625480138</v>
      </c>
      <c r="AH49" s="52">
        <v>14258.538512970286</v>
      </c>
      <c r="AI49" s="52">
        <v>16819.35711250985</v>
      </c>
      <c r="AJ49" s="52"/>
      <c r="AK49" s="52"/>
      <c r="AL49" s="52"/>
      <c r="AM49" s="84"/>
      <c r="AN49"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31077.895625480138</v>
      </c>
      <c r="AQ49" s="66">
        <f>Table13611[[#This Row],[Overall Intersectorial Final Target]]-(Table813[[#This Row],[IDPs]]+Table813[[#This Row],[Returnee Migrants]]+Table813[[#This Row],[Refugees]])</f>
        <v>31077.895625480138</v>
      </c>
      <c r="AR49" s="66">
        <f>Table8[[#This Row],[IDPs]]</f>
        <v>0</v>
      </c>
      <c r="AS49" s="66">
        <f>Table8[[#This Row],[Returnee Migrants]]</f>
        <v>0</v>
      </c>
      <c r="AT49" s="66">
        <f>Table13611[[#This Row],[Refugee Targets]]</f>
        <v>0</v>
      </c>
      <c r="AV49" s="79">
        <f>Table9[[#This Row],[2020 Inter-cluster Response ]]</f>
        <v>49680</v>
      </c>
      <c r="AX49" s="79">
        <f>Table13611[[#This Row],[Overall Intersectorial PiN]]-Table13611[[#This Row],[Overall Intersectorial Final Target]]</f>
        <v>13319.098125205775</v>
      </c>
      <c r="AY49" s="4">
        <v>3</v>
      </c>
    </row>
    <row r="50" spans="1:51" x14ac:dyDescent="0.2">
      <c r="A50" s="3" t="s">
        <v>35</v>
      </c>
      <c r="B50" s="3" t="s">
        <v>43</v>
      </c>
      <c r="C50" s="223" t="s">
        <v>517</v>
      </c>
      <c r="D50" s="209">
        <f>Table136[[#This Row],[Overall Intersectorial Final PiN]]</f>
        <v>36919.389909435224</v>
      </c>
      <c r="E50" s="206">
        <f>Table1345[[#This Row],[CCCM_Target]]</f>
        <v>0</v>
      </c>
      <c r="F50" s="52"/>
      <c r="G50" s="52"/>
      <c r="H50" s="74">
        <v>0</v>
      </c>
      <c r="I50" s="52">
        <v>0</v>
      </c>
      <c r="J50" s="52">
        <v>0</v>
      </c>
      <c r="K50" s="74">
        <f>Table1345[[#This Row],[Education Target]]</f>
        <v>0</v>
      </c>
      <c r="L50" s="74">
        <v>0</v>
      </c>
      <c r="M50" s="74">
        <v>0</v>
      </c>
      <c r="N50" s="52">
        <f>Table1345[[#This Row],[FSC Target]]</f>
        <v>30000</v>
      </c>
      <c r="O50" s="52"/>
      <c r="P50" s="52"/>
      <c r="Q50" s="51">
        <v>0</v>
      </c>
      <c r="R50" s="213">
        <v>0</v>
      </c>
      <c r="S50" s="52">
        <v>0</v>
      </c>
      <c r="T50" s="52">
        <f>0.65*Table1345[[#This Row],[Health PiN]]</f>
        <v>16494.493078121755</v>
      </c>
      <c r="U50" s="74">
        <v>7587.4668159360081</v>
      </c>
      <c r="V50" s="52">
        <v>8907.0262621857491</v>
      </c>
      <c r="W50" s="52">
        <f>Table1345[[#This Row],[Nutrition Target]]</f>
        <v>9456.8426981231387</v>
      </c>
      <c r="X50" s="52">
        <v>3248.14632923013</v>
      </c>
      <c r="Y50" s="52">
        <v>3248.14632923013</v>
      </c>
      <c r="Z50" s="52">
        <v>5921.1000793257581</v>
      </c>
      <c r="AA50" s="52">
        <f>Table1345[[#This Row],[Shelter/NFIs Target]]</f>
        <v>0</v>
      </c>
      <c r="AB50" s="52"/>
      <c r="AC50" s="52"/>
      <c r="AD50" s="52"/>
      <c r="AE50" s="52"/>
      <c r="AF50" s="52"/>
      <c r="AG50" s="66">
        <f>Table1345[[#This Row],[WASH Targets]]</f>
        <v>0</v>
      </c>
      <c r="AH50" s="52">
        <v>0</v>
      </c>
      <c r="AI50" s="52">
        <v>0</v>
      </c>
      <c r="AJ50" s="52"/>
      <c r="AK50" s="52"/>
      <c r="AL50" s="52"/>
      <c r="AM50" s="84"/>
      <c r="AN50"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30000</v>
      </c>
      <c r="AQ50" s="66">
        <f>Table13611[[#This Row],[Overall Intersectorial Final Target]]-(Table813[[#This Row],[IDPs]]+Table813[[#This Row],[Returnee Migrants]]+Table813[[#This Row],[Refugees]])</f>
        <v>30000</v>
      </c>
      <c r="AR50" s="66">
        <f>Table8[[#This Row],[IDPs]]</f>
        <v>0</v>
      </c>
      <c r="AS50" s="66">
        <f>Table8[[#This Row],[Returnee Migrants]]</f>
        <v>0</v>
      </c>
      <c r="AT50" s="66">
        <f>Table13611[[#This Row],[Refugee Targets]]</f>
        <v>0</v>
      </c>
      <c r="AV50" s="79">
        <f>Table9[[#This Row],[2020 Inter-cluster Response ]]</f>
        <v>34789</v>
      </c>
      <c r="AX50" s="79">
        <f>Table13611[[#This Row],[Overall Intersectorial PiN]]-Table13611[[#This Row],[Overall Intersectorial Final Target]]</f>
        <v>6919.3899094352237</v>
      </c>
      <c r="AY50" s="4">
        <v>3</v>
      </c>
    </row>
    <row r="51" spans="1:51" x14ac:dyDescent="0.2">
      <c r="A51" s="3" t="s">
        <v>35</v>
      </c>
      <c r="B51" s="3" t="s">
        <v>46</v>
      </c>
      <c r="C51" s="223" t="s">
        <v>518</v>
      </c>
      <c r="D51" s="209">
        <f>Table136[[#This Row],[Overall Intersectorial Final PiN]]</f>
        <v>55563</v>
      </c>
      <c r="E51" s="206">
        <f>Table1345[[#This Row],[CCCM_Target]]</f>
        <v>0</v>
      </c>
      <c r="F51" s="52"/>
      <c r="G51" s="52"/>
      <c r="H51" s="74">
        <v>3531.5482370002683</v>
      </c>
      <c r="I51" s="52">
        <v>1236.0418829500939</v>
      </c>
      <c r="J51" s="52">
        <v>2295.5063540501747</v>
      </c>
      <c r="K51" s="74">
        <f>Table1345[[#This Row],[Education Target]]</f>
        <v>0</v>
      </c>
      <c r="L51" s="74">
        <v>20650.758733086121</v>
      </c>
      <c r="M51" s="74">
        <v>21067.945778198969</v>
      </c>
      <c r="N51" s="52">
        <f>Table1345[[#This Row],[FSC Target]]</f>
        <v>53583.47552</v>
      </c>
      <c r="O51" s="52"/>
      <c r="P51" s="52"/>
      <c r="Q51" s="51">
        <v>7980</v>
      </c>
      <c r="R51" s="213">
        <v>2074.8000000000002</v>
      </c>
      <c r="S51" s="52">
        <v>5905.1999999999989</v>
      </c>
      <c r="T51" s="52">
        <f>0.65*Table1345[[#This Row],[Health PiN]]</f>
        <v>27550.691438811551</v>
      </c>
      <c r="U51" s="74">
        <v>12673.318061853313</v>
      </c>
      <c r="V51" s="52">
        <v>14877.373376958238</v>
      </c>
      <c r="W51" s="52">
        <f>Table1345[[#This Row],[Nutrition Target]]</f>
        <v>16247.84366904271</v>
      </c>
      <c r="X51" s="52">
        <v>5651.4238848844207</v>
      </c>
      <c r="Y51" s="52">
        <v>5651.4238848844207</v>
      </c>
      <c r="Z51" s="52">
        <v>9889.9917985477368</v>
      </c>
      <c r="AA51" s="52">
        <f>Table1345[[#This Row],[Shelter/NFIs Target]]</f>
        <v>0</v>
      </c>
      <c r="AB51" s="52"/>
      <c r="AC51" s="52"/>
      <c r="AD51" s="52"/>
      <c r="AE51" s="52"/>
      <c r="AF51" s="52"/>
      <c r="AG51" s="66">
        <f>Table1345[[#This Row],[WASH Targets]]</f>
        <v>0</v>
      </c>
      <c r="AH51" s="52">
        <v>0</v>
      </c>
      <c r="AI51" s="52">
        <v>0</v>
      </c>
      <c r="AJ51" s="52"/>
      <c r="AK51" s="52"/>
      <c r="AL51" s="52"/>
      <c r="AM51" s="84"/>
      <c r="AN51"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53583.47552</v>
      </c>
      <c r="AQ51" s="66">
        <f>Table13611[[#This Row],[Overall Intersectorial Final Target]]-(Table813[[#This Row],[IDPs]]+Table813[[#This Row],[Returnee Migrants]]+Table813[[#This Row],[Refugees]])</f>
        <v>53583.47552</v>
      </c>
      <c r="AR51" s="66">
        <f>Table8[[#This Row],[IDPs]]</f>
        <v>0</v>
      </c>
      <c r="AS51" s="66">
        <f>Table8[[#This Row],[Returnee Migrants]]</f>
        <v>0</v>
      </c>
      <c r="AT51" s="66">
        <f>Table13611[[#This Row],[Refugee Targets]]</f>
        <v>0</v>
      </c>
      <c r="AV51" s="79">
        <f>Table9[[#This Row],[2020 Inter-cluster Response ]]</f>
        <v>42858</v>
      </c>
      <c r="AX51" s="79">
        <f>Table13611[[#This Row],[Overall Intersectorial PiN]]-Table13611[[#This Row],[Overall Intersectorial Final Target]]</f>
        <v>1979.52448</v>
      </c>
      <c r="AY51" s="4">
        <v>3</v>
      </c>
    </row>
    <row r="52" spans="1:51" x14ac:dyDescent="0.2">
      <c r="A52" s="3" t="s">
        <v>35</v>
      </c>
      <c r="B52" s="3" t="s">
        <v>39</v>
      </c>
      <c r="C52" s="223" t="s">
        <v>518</v>
      </c>
      <c r="D52" s="209">
        <f>Table136[[#This Row],[Overall Intersectorial Final PiN]]</f>
        <v>98747.365532452168</v>
      </c>
      <c r="E52" s="206">
        <f>Table1345[[#This Row],[CCCM_Target]]</f>
        <v>0</v>
      </c>
      <c r="F52" s="52"/>
      <c r="G52" s="52"/>
      <c r="H52" s="74">
        <v>4424.7412726399998</v>
      </c>
      <c r="I52" s="52">
        <v>1548.6594454239998</v>
      </c>
      <c r="J52" s="52">
        <v>2876.081827216</v>
      </c>
      <c r="K52" s="74">
        <f>Table1345[[#This Row],[Education Target]]</f>
        <v>0</v>
      </c>
      <c r="L52" s="74">
        <v>0</v>
      </c>
      <c r="M52" s="74">
        <v>0</v>
      </c>
      <c r="N52" s="52">
        <f>Table1345[[#This Row],[FSC Target]]</f>
        <v>68840.489919999993</v>
      </c>
      <c r="O52" s="52"/>
      <c r="P52" s="52"/>
      <c r="Q52" s="51">
        <v>5130</v>
      </c>
      <c r="R52" s="213">
        <v>1966</v>
      </c>
      <c r="S52" s="52">
        <v>3164</v>
      </c>
      <c r="T52" s="52">
        <f>0.65*Table1345[[#This Row],[Health PiN]]</f>
        <v>64185.787596093913</v>
      </c>
      <c r="U52" s="74">
        <v>29525.4622942032</v>
      </c>
      <c r="V52" s="52">
        <v>34660.325301890713</v>
      </c>
      <c r="W52" s="52">
        <f>Table1345[[#This Row],[Nutrition Target]]</f>
        <v>37853.156787439999</v>
      </c>
      <c r="X52" s="52">
        <v>13166.315404326955</v>
      </c>
      <c r="Y52" s="52">
        <v>13166.315404326955</v>
      </c>
      <c r="Z52" s="52">
        <v>23041.051957572174</v>
      </c>
      <c r="AA52" s="52">
        <f>Table1345[[#This Row],[Shelter/NFIs Target]]</f>
        <v>0</v>
      </c>
      <c r="AB52" s="52"/>
      <c r="AC52" s="52"/>
      <c r="AD52" s="52"/>
      <c r="AE52" s="52"/>
      <c r="AF52" s="52"/>
      <c r="AG52" s="66">
        <f>Table1345[[#This Row],[WASH Targets]]</f>
        <v>0</v>
      </c>
      <c r="AH52" s="52">
        <v>0</v>
      </c>
      <c r="AI52" s="52">
        <v>0</v>
      </c>
      <c r="AJ52" s="52"/>
      <c r="AK52" s="52"/>
      <c r="AL52" s="52"/>
      <c r="AM52" s="84"/>
      <c r="AN52"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68840.489919999993</v>
      </c>
      <c r="AQ52" s="66">
        <f>Table13611[[#This Row],[Overall Intersectorial Final Target]]-(Table813[[#This Row],[IDPs]]+Table813[[#This Row],[Returnee Migrants]]+Table813[[#This Row],[Refugees]])</f>
        <v>66924.489919999993</v>
      </c>
      <c r="AR52" s="66">
        <f>Table8[[#This Row],[IDPs]]</f>
        <v>0</v>
      </c>
      <c r="AS52" s="66">
        <f>Table8[[#This Row],[Returnee Migrants]]</f>
        <v>1916</v>
      </c>
      <c r="AT52" s="66">
        <f>Table13611[[#This Row],[Refugee Targets]]</f>
        <v>0</v>
      </c>
      <c r="AV52" s="79">
        <f>Table9[[#This Row],[2020 Inter-cluster Response ]]</f>
        <v>54879</v>
      </c>
      <c r="AX52" s="79">
        <f>Table13611[[#This Row],[Overall Intersectorial PiN]]-Table13611[[#This Row],[Overall Intersectorial Final Target]]</f>
        <v>29906.875612452175</v>
      </c>
      <c r="AY52" s="4">
        <v>3</v>
      </c>
    </row>
    <row r="53" spans="1:51" x14ac:dyDescent="0.2">
      <c r="A53" s="3" t="s">
        <v>76</v>
      </c>
      <c r="B53" s="3" t="s">
        <v>77</v>
      </c>
      <c r="C53" s="223" t="s">
        <v>518</v>
      </c>
      <c r="D53" s="209">
        <f>Table136[[#This Row],[Overall Intersectorial Final PiN]]</f>
        <v>72858.05005889204</v>
      </c>
      <c r="E53" s="206">
        <f>Table1345[[#This Row],[CCCM_Target]]</f>
        <v>0</v>
      </c>
      <c r="F53" s="52"/>
      <c r="G53" s="52"/>
      <c r="H53" s="74">
        <v>2759.5532423680006</v>
      </c>
      <c r="I53" s="52">
        <v>965.84363482880019</v>
      </c>
      <c r="J53" s="52">
        <v>1793.7096075392005</v>
      </c>
      <c r="K53" s="74">
        <f>Table1345[[#This Row],[Education Target]]</f>
        <v>0</v>
      </c>
      <c r="L53" s="74">
        <v>0</v>
      </c>
      <c r="M53" s="74">
        <v>0</v>
      </c>
      <c r="N53" s="52">
        <f>Table1345[[#This Row],[FSC Target]]</f>
        <v>45581.098773999998</v>
      </c>
      <c r="O53" s="52"/>
      <c r="P53" s="52"/>
      <c r="Q53" s="51">
        <v>7000</v>
      </c>
      <c r="R53" s="213">
        <v>1000</v>
      </c>
      <c r="S53" s="52">
        <v>6000</v>
      </c>
      <c r="T53" s="52">
        <f>0.65*Table1345[[#This Row],[Health PiN]]</f>
        <v>0</v>
      </c>
      <c r="U53" s="74"/>
      <c r="V53" s="52"/>
      <c r="W53" s="52">
        <f>Table1345[[#This Row],[Nutrition Target]]</f>
        <v>0</v>
      </c>
      <c r="X53" s="52"/>
      <c r="Y53" s="52"/>
      <c r="Z53" s="52"/>
      <c r="AA53" s="52">
        <f>Table1345[[#This Row],[Shelter/NFIs Target]]</f>
        <v>20000</v>
      </c>
      <c r="AB53" s="52">
        <v>2896</v>
      </c>
      <c r="AC53" s="52">
        <v>3182</v>
      </c>
      <c r="AD53" s="52">
        <v>7142</v>
      </c>
      <c r="AE53" s="52">
        <v>7750</v>
      </c>
      <c r="AF53" s="52">
        <v>1030</v>
      </c>
      <c r="AG53" s="66">
        <f>Table1345[[#This Row],[WASH Targets]]</f>
        <v>51000.635041224428</v>
      </c>
      <c r="AH53" s="52">
        <v>23399.091356913767</v>
      </c>
      <c r="AI53" s="52">
        <v>27601.543684310662</v>
      </c>
      <c r="AJ53" s="52"/>
      <c r="AK53" s="52"/>
      <c r="AL53" s="52"/>
      <c r="AM53" s="84"/>
      <c r="AN53"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51000.635041224428</v>
      </c>
      <c r="AQ53" s="66">
        <f>Table13611[[#This Row],[Overall Intersectorial Final Target]]-(Table813[[#This Row],[IDPs]]+Table813[[#This Row],[Returnee Migrants]]+Table813[[#This Row],[Refugees]])</f>
        <v>51000.635041224428</v>
      </c>
      <c r="AR53" s="66">
        <f>Table8[[#This Row],[IDPs]]</f>
        <v>0</v>
      </c>
      <c r="AS53" s="66">
        <f>Table8[[#This Row],[Returnee Migrants]]</f>
        <v>0</v>
      </c>
      <c r="AT53" s="66">
        <f>Table13611[[#This Row],[Refugee Targets]]</f>
        <v>0</v>
      </c>
      <c r="AV53" s="79">
        <f>Table9[[#This Row],[2020 Inter-cluster Response ]]</f>
        <v>51852</v>
      </c>
      <c r="AX53" s="79">
        <f>Table13611[[#This Row],[Overall Intersectorial PiN]]-Table13611[[#This Row],[Overall Intersectorial Final Target]]</f>
        <v>21857.415017667612</v>
      </c>
      <c r="AY53" s="4">
        <v>3</v>
      </c>
    </row>
    <row r="54" spans="1:51" x14ac:dyDescent="0.2">
      <c r="A54" s="3" t="s">
        <v>76</v>
      </c>
      <c r="B54" s="3" t="s">
        <v>91</v>
      </c>
      <c r="C54" s="223" t="s">
        <v>518</v>
      </c>
      <c r="D54" s="209">
        <f>Table136[[#This Row],[Overall Intersectorial Final PiN]]</f>
        <v>167227.29951955774</v>
      </c>
      <c r="E54" s="206">
        <f>Table1345[[#This Row],[CCCM_Target]]</f>
        <v>300</v>
      </c>
      <c r="F54" s="52">
        <v>41</v>
      </c>
      <c r="G54" s="52">
        <v>45</v>
      </c>
      <c r="H54" s="74">
        <v>5118.9102386349177</v>
      </c>
      <c r="I54" s="52">
        <v>1791.6185835222211</v>
      </c>
      <c r="J54" s="52">
        <v>3327.2916551126968</v>
      </c>
      <c r="K54" s="74">
        <f>Table1345[[#This Row],[Education Target]]</f>
        <v>0</v>
      </c>
      <c r="L54" s="74">
        <v>0</v>
      </c>
      <c r="M54" s="74">
        <v>0</v>
      </c>
      <c r="N54" s="52">
        <f>Table1345[[#This Row],[FSC Target]]</f>
        <v>92508</v>
      </c>
      <c r="O54" s="52"/>
      <c r="P54" s="52"/>
      <c r="Q54" s="51">
        <v>25930</v>
      </c>
      <c r="R54" s="213">
        <v>5291.8</v>
      </c>
      <c r="S54" s="52">
        <v>20638.2</v>
      </c>
      <c r="T54" s="52">
        <f>0.65*Table1345[[#This Row],[Health PiN]]</f>
        <v>108697.74468771253</v>
      </c>
      <c r="U54" s="74">
        <v>50000.962556347768</v>
      </c>
      <c r="V54" s="52">
        <v>58696.782131364773</v>
      </c>
      <c r="W54" s="52">
        <f>Table1345[[#This Row],[Nutrition Target]]</f>
        <v>35679.616625492839</v>
      </c>
      <c r="X54" s="52">
        <v>11267.641659788183</v>
      </c>
      <c r="Y54" s="52">
        <v>12706.063999335613</v>
      </c>
      <c r="Z54" s="52">
        <v>23411.821932738087</v>
      </c>
      <c r="AA54" s="52">
        <f>Table1345[[#This Row],[Shelter/NFIs Target]]</f>
        <v>1000</v>
      </c>
      <c r="AB54" s="52">
        <v>134</v>
      </c>
      <c r="AC54" s="52">
        <v>146</v>
      </c>
      <c r="AD54" s="52">
        <v>322</v>
      </c>
      <c r="AE54" s="52">
        <v>350</v>
      </c>
      <c r="AF54" s="52">
        <v>47.6</v>
      </c>
      <c r="AG54" s="66">
        <f>Table1345[[#This Row],[WASH Targets]]</f>
        <v>93647.287730952332</v>
      </c>
      <c r="AH54" s="52">
        <v>42965.375610960924</v>
      </c>
      <c r="AI54" s="52">
        <v>50681.912119991408</v>
      </c>
      <c r="AJ54" s="52"/>
      <c r="AK54" s="52"/>
      <c r="AL54" s="52"/>
      <c r="AM54" s="84"/>
      <c r="AN54"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108697.74468771253</v>
      </c>
      <c r="AQ54" s="66">
        <f>Table13611[[#This Row],[Overall Intersectorial Final Target]]-(Table813[[#This Row],[IDPs]]+Table813[[#This Row],[Returnee Migrants]]+Table813[[#This Row],[Refugees]])</f>
        <v>108697.74468771253</v>
      </c>
      <c r="AR54" s="66">
        <f>Table8[[#This Row],[IDPs]]</f>
        <v>0</v>
      </c>
      <c r="AS54" s="66">
        <f>Table8[[#This Row],[Returnee Migrants]]</f>
        <v>0</v>
      </c>
      <c r="AT54" s="66">
        <f>Table13611[[#This Row],[Refugee Targets]]</f>
        <v>0</v>
      </c>
      <c r="AV54" s="79">
        <f>Table9[[#This Row],[2020 Inter-cluster Response ]]</f>
        <v>84976</v>
      </c>
      <c r="AX54" s="79">
        <f>Table13611[[#This Row],[Overall Intersectorial PiN]]-Table13611[[#This Row],[Overall Intersectorial Final Target]]</f>
        <v>58529.554831845206</v>
      </c>
      <c r="AY54" s="4">
        <v>4</v>
      </c>
    </row>
    <row r="55" spans="1:51" x14ac:dyDescent="0.2">
      <c r="A55" s="3" t="s">
        <v>76</v>
      </c>
      <c r="B55" s="3" t="s">
        <v>83</v>
      </c>
      <c r="C55" s="223" t="s">
        <v>517</v>
      </c>
      <c r="D55" s="209">
        <f>Table136[[#This Row],[Overall Intersectorial Final PiN]]</f>
        <v>16319.491119010396</v>
      </c>
      <c r="E55" s="206">
        <f>Table1345[[#This Row],[CCCM_Target]]</f>
        <v>0</v>
      </c>
      <c r="F55" s="52"/>
      <c r="G55" s="52"/>
      <c r="H55" s="74">
        <v>0</v>
      </c>
      <c r="I55" s="52">
        <v>0</v>
      </c>
      <c r="J55" s="52">
        <v>0</v>
      </c>
      <c r="K55" s="74">
        <f>Table1345[[#This Row],[Education Target]]</f>
        <v>0</v>
      </c>
      <c r="L55" s="74">
        <v>0</v>
      </c>
      <c r="M55" s="74">
        <v>0</v>
      </c>
      <c r="N55" s="52">
        <f>Table1345[[#This Row],[FSC Target]]</f>
        <v>14500</v>
      </c>
      <c r="O55" s="52"/>
      <c r="P55" s="52"/>
      <c r="Q55" s="51">
        <v>7480</v>
      </c>
      <c r="R55" s="213">
        <v>1274.8</v>
      </c>
      <c r="S55" s="52">
        <v>6205.2</v>
      </c>
      <c r="T55" s="52">
        <f>0.65*Table1345[[#This Row],[Health PiN]]</f>
        <v>7201.1334467810038</v>
      </c>
      <c r="U55" s="74">
        <v>3312.5213855192619</v>
      </c>
      <c r="V55" s="52">
        <v>3888.6120612617424</v>
      </c>
      <c r="W55" s="52">
        <f>Table1345[[#This Row],[Nutrition Target]]</f>
        <v>0</v>
      </c>
      <c r="X55" s="52"/>
      <c r="Y55" s="52"/>
      <c r="Z55" s="52"/>
      <c r="AA55" s="52">
        <f>Table1345[[#This Row],[Shelter/NFIs Target]]</f>
        <v>0</v>
      </c>
      <c r="AB55" s="52"/>
      <c r="AC55" s="52"/>
      <c r="AD55" s="52"/>
      <c r="AE55" s="52"/>
      <c r="AF55" s="52"/>
      <c r="AG55" s="66">
        <f>Table1345[[#This Row],[WASH Targets]]</f>
        <v>7238.0623362516753</v>
      </c>
      <c r="AH55" s="52">
        <v>3320.8229998722691</v>
      </c>
      <c r="AI55" s="52">
        <v>3917.2393363794072</v>
      </c>
      <c r="AJ55" s="52"/>
      <c r="AK55" s="52"/>
      <c r="AL55" s="52"/>
      <c r="AM55" s="84"/>
      <c r="AN55"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14500</v>
      </c>
      <c r="AQ55" s="66">
        <f>Table13611[[#This Row],[Overall Intersectorial Final Target]]-(Table813[[#This Row],[IDPs]]+Table813[[#This Row],[Returnee Migrants]]+Table813[[#This Row],[Refugees]])</f>
        <v>14500</v>
      </c>
      <c r="AR55" s="66">
        <f>Table8[[#This Row],[IDPs]]</f>
        <v>0</v>
      </c>
      <c r="AS55" s="66">
        <f>Table8[[#This Row],[Returnee Migrants]]</f>
        <v>0</v>
      </c>
      <c r="AT55" s="66">
        <f>Table13611[[#This Row],[Refugee Targets]]</f>
        <v>0</v>
      </c>
      <c r="AV55" s="79">
        <f>Table9[[#This Row],[2020 Inter-cluster Response ]]</f>
        <v>0</v>
      </c>
      <c r="AX55" s="79">
        <f>Table13611[[#This Row],[Overall Intersectorial PiN]]-Table13611[[#This Row],[Overall Intersectorial Final Target]]</f>
        <v>1819.4911190103958</v>
      </c>
      <c r="AY55" s="4">
        <v>3</v>
      </c>
    </row>
    <row r="56" spans="1:51" x14ac:dyDescent="0.2">
      <c r="A56" s="3" t="s">
        <v>76</v>
      </c>
      <c r="B56" s="3" t="s">
        <v>78</v>
      </c>
      <c r="C56" s="223" t="s">
        <v>518</v>
      </c>
      <c r="D56" s="209">
        <f>Table136[[#This Row],[Overall Intersectorial Final PiN]]</f>
        <v>72642</v>
      </c>
      <c r="E56" s="206">
        <f>Table1345[[#This Row],[CCCM_Target]]</f>
        <v>0</v>
      </c>
      <c r="F56" s="52"/>
      <c r="G56" s="52"/>
      <c r="H56" s="74">
        <v>3169.22449792</v>
      </c>
      <c r="I56" s="52">
        <v>1109.2285742719998</v>
      </c>
      <c r="J56" s="52">
        <v>2059.9959236479999</v>
      </c>
      <c r="K56" s="74">
        <f>Table1345[[#This Row],[Education Target]]</f>
        <v>0</v>
      </c>
      <c r="L56" s="74">
        <v>0</v>
      </c>
      <c r="M56" s="74">
        <v>0</v>
      </c>
      <c r="N56" s="52">
        <f>Table1345[[#This Row],[FSC Target]]</f>
        <v>22477.933370999999</v>
      </c>
      <c r="O56" s="52"/>
      <c r="P56" s="52"/>
      <c r="Q56" s="51">
        <v>17300</v>
      </c>
      <c r="R56" s="213">
        <v>3828</v>
      </c>
      <c r="S56" s="52">
        <v>13472</v>
      </c>
      <c r="T56" s="52">
        <f>0.65*Table1345[[#This Row],[Health PiN]]</f>
        <v>0</v>
      </c>
      <c r="U56" s="74"/>
      <c r="V56" s="52"/>
      <c r="W56" s="52">
        <f>Table1345[[#This Row],[Nutrition Target]]</f>
        <v>23160.161399346172</v>
      </c>
      <c r="X56" s="52">
        <v>7572.3658140470952</v>
      </c>
      <c r="Y56" s="52">
        <v>8539.0508115850225</v>
      </c>
      <c r="Z56" s="52">
        <v>14097.489547428104</v>
      </c>
      <c r="AA56" s="52">
        <f>Table1345[[#This Row],[Shelter/NFIs Target]]</f>
        <v>0</v>
      </c>
      <c r="AB56" s="52"/>
      <c r="AC56" s="52"/>
      <c r="AD56" s="52"/>
      <c r="AE56" s="52"/>
      <c r="AF56" s="52"/>
      <c r="AG56" s="66">
        <f>Table1345[[#This Row],[WASH Targets]]</f>
        <v>0</v>
      </c>
      <c r="AH56" s="52">
        <v>0</v>
      </c>
      <c r="AI56" s="52">
        <v>0</v>
      </c>
      <c r="AJ56" s="52"/>
      <c r="AK56" s="52"/>
      <c r="AL56" s="52"/>
      <c r="AM56" s="84"/>
      <c r="AN56"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23160.161399346172</v>
      </c>
      <c r="AQ56" s="66">
        <f>Table13611[[#This Row],[Overall Intersectorial Final Target]]-(Table813[[#This Row],[IDPs]]+Table813[[#This Row],[Returnee Migrants]]+Table813[[#This Row],[Refugees]])</f>
        <v>23160.161399346172</v>
      </c>
      <c r="AR56" s="66">
        <f>Table8[[#This Row],[IDPs]]</f>
        <v>0</v>
      </c>
      <c r="AS56" s="66">
        <f>Table8[[#This Row],[Returnee Migrants]]</f>
        <v>0</v>
      </c>
      <c r="AT56" s="66">
        <f>Table13611[[#This Row],[Refugee Targets]]</f>
        <v>0</v>
      </c>
      <c r="AV56" s="79">
        <f>Table9[[#This Row],[2020 Inter-cluster Response ]]</f>
        <v>58005</v>
      </c>
      <c r="AX56" s="79">
        <f>Table13611[[#This Row],[Overall Intersectorial PiN]]-Table13611[[#This Row],[Overall Intersectorial Final Target]]</f>
        <v>49481.838600653828</v>
      </c>
      <c r="AY56" s="4">
        <v>3</v>
      </c>
    </row>
    <row r="57" spans="1:51" x14ac:dyDescent="0.2">
      <c r="A57" s="3" t="s">
        <v>76</v>
      </c>
      <c r="B57" s="3" t="s">
        <v>79</v>
      </c>
      <c r="C57" s="223" t="s">
        <v>518</v>
      </c>
      <c r="D57" s="209">
        <f>Table136[[#This Row],[Overall Intersectorial Final PiN]]</f>
        <v>88843</v>
      </c>
      <c r="E57" s="206">
        <f>Table1345[[#This Row],[CCCM_Target]]</f>
        <v>0</v>
      </c>
      <c r="F57" s="52"/>
      <c r="G57" s="52"/>
      <c r="H57" s="74">
        <v>0</v>
      </c>
      <c r="I57" s="52">
        <v>0</v>
      </c>
      <c r="J57" s="52">
        <v>0</v>
      </c>
      <c r="K57" s="74">
        <f>Table1345[[#This Row],[Education Target]]</f>
        <v>0</v>
      </c>
      <c r="L57" s="74">
        <v>0</v>
      </c>
      <c r="M57" s="74">
        <v>0</v>
      </c>
      <c r="N57" s="52">
        <f>Table1345[[#This Row],[FSC Target]]</f>
        <v>88843</v>
      </c>
      <c r="O57" s="52"/>
      <c r="P57" s="52"/>
      <c r="Q57" s="51">
        <v>4500</v>
      </c>
      <c r="R57" s="213">
        <v>500</v>
      </c>
      <c r="S57" s="52">
        <v>4000</v>
      </c>
      <c r="T57" s="52">
        <f>0.65*Table1345[[#This Row],[Health PiN]]</f>
        <v>48030.339719279633</v>
      </c>
      <c r="U57" s="74">
        <v>22093.956270868632</v>
      </c>
      <c r="V57" s="52">
        <v>25936.383448411005</v>
      </c>
      <c r="W57" s="52">
        <f>Table1345[[#This Row],[Nutrition Target]]</f>
        <v>0</v>
      </c>
      <c r="X57" s="52"/>
      <c r="Y57" s="52"/>
      <c r="Z57" s="52"/>
      <c r="AA57" s="52">
        <f>Table1345[[#This Row],[Shelter/NFIs Target]]</f>
        <v>6273</v>
      </c>
      <c r="AB57" s="52">
        <v>1052</v>
      </c>
      <c r="AC57" s="52">
        <v>1148</v>
      </c>
      <c r="AD57" s="52">
        <v>2588</v>
      </c>
      <c r="AE57" s="52">
        <v>2831</v>
      </c>
      <c r="AF57" s="52">
        <v>380.95</v>
      </c>
      <c r="AG57" s="66">
        <f>Table1345[[#This Row],[WASH Targets]]</f>
        <v>62069.977483376759</v>
      </c>
      <c r="AH57" s="52">
        <v>28477.705669373256</v>
      </c>
      <c r="AI57" s="52">
        <v>33592.271814003499</v>
      </c>
      <c r="AJ57" s="52"/>
      <c r="AK57" s="52"/>
      <c r="AL57" s="52"/>
      <c r="AM57" s="84"/>
      <c r="AN57"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88843</v>
      </c>
      <c r="AQ57" s="66">
        <f>Table13611[[#This Row],[Overall Intersectorial Final Target]]-(Table813[[#This Row],[IDPs]]+Table813[[#This Row],[Returnee Migrants]]+Table813[[#This Row],[Refugees]])</f>
        <v>88843</v>
      </c>
      <c r="AR57" s="66">
        <f>Table8[[#This Row],[IDPs]]</f>
        <v>0</v>
      </c>
      <c r="AS57" s="66">
        <f>Table8[[#This Row],[Returnee Migrants]]</f>
        <v>0</v>
      </c>
      <c r="AT57" s="66">
        <f>Table13611[[#This Row],[Refugee Targets]]</f>
        <v>0</v>
      </c>
      <c r="AV57" s="79">
        <f>Table9[[#This Row],[2020 Inter-cluster Response ]]</f>
        <v>42130</v>
      </c>
      <c r="AX57" s="257">
        <f>Table13611[[#This Row],[Overall Intersectorial PiN]]-Table13611[[#This Row],[Overall Intersectorial Final Target]]</f>
        <v>0</v>
      </c>
      <c r="AY57" s="4">
        <v>3</v>
      </c>
    </row>
    <row r="58" spans="1:51" x14ac:dyDescent="0.2">
      <c r="A58" s="3" t="s">
        <v>76</v>
      </c>
      <c r="B58" s="3" t="s">
        <v>76</v>
      </c>
      <c r="C58" s="223" t="s">
        <v>518</v>
      </c>
      <c r="D58" s="209">
        <f>Table136[[#This Row],[Overall Intersectorial Final PiN]]</f>
        <v>84536.871996545669</v>
      </c>
      <c r="E58" s="206">
        <f>Table1345[[#This Row],[CCCM_Target]]</f>
        <v>0</v>
      </c>
      <c r="F58" s="52"/>
      <c r="G58" s="52"/>
      <c r="H58" s="74">
        <v>0</v>
      </c>
      <c r="I58" s="52">
        <v>0</v>
      </c>
      <c r="J58" s="52">
        <v>0</v>
      </c>
      <c r="K58" s="74">
        <f>Table1345[[#This Row],[Education Target]]</f>
        <v>0</v>
      </c>
      <c r="L58" s="74">
        <v>25204.904999999999</v>
      </c>
      <c r="M58" s="74">
        <v>25714.095000000001</v>
      </c>
      <c r="N58" s="52">
        <f>Table1345[[#This Row],[FSC Target]]</f>
        <v>80147.554560000004</v>
      </c>
      <c r="O58" s="52"/>
      <c r="P58" s="52"/>
      <c r="Q58" s="51">
        <v>4500</v>
      </c>
      <c r="R58" s="213">
        <v>500</v>
      </c>
      <c r="S58" s="52">
        <v>4000</v>
      </c>
      <c r="T58" s="52">
        <f>0.65*Table1345[[#This Row],[Health PiN]]</f>
        <v>49953.60617977698</v>
      </c>
      <c r="U58" s="74">
        <v>22978.658842697412</v>
      </c>
      <c r="V58" s="52">
        <v>26974.947337079571</v>
      </c>
      <c r="W58" s="52">
        <f>Table1345[[#This Row],[Nutrition Target]]</f>
        <v>0</v>
      </c>
      <c r="X58" s="52"/>
      <c r="Y58" s="52"/>
      <c r="Z58" s="52"/>
      <c r="AA58" s="52">
        <f>Table1345[[#This Row],[Shelter/NFIs Target]]</f>
        <v>3027</v>
      </c>
      <c r="AB58" s="52">
        <v>670</v>
      </c>
      <c r="AC58" s="52">
        <v>730</v>
      </c>
      <c r="AD58" s="52">
        <v>1630</v>
      </c>
      <c r="AE58" s="52">
        <v>1732</v>
      </c>
      <c r="AF58" s="52">
        <v>238.1</v>
      </c>
      <c r="AG58" s="66">
        <f>Table1345[[#This Row],[WASH Targets]]</f>
        <v>59175.810397581961</v>
      </c>
      <c r="AH58" s="52">
        <v>27149.861810410603</v>
      </c>
      <c r="AI58" s="52">
        <v>32025.948587171359</v>
      </c>
      <c r="AJ58" s="52"/>
      <c r="AK58" s="52"/>
      <c r="AL58" s="52"/>
      <c r="AM58" s="84"/>
      <c r="AN58"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80147.554560000004</v>
      </c>
      <c r="AQ58" s="66">
        <f>Table13611[[#This Row],[Overall Intersectorial Final Target]]-(Table813[[#This Row],[IDPs]]+Table813[[#This Row],[Returnee Migrants]]+Table813[[#This Row],[Refugees]])</f>
        <v>78318.554560000004</v>
      </c>
      <c r="AR58" s="66">
        <f>Table8[[#This Row],[IDPs]]</f>
        <v>0</v>
      </c>
      <c r="AS58" s="66">
        <f>Table8[[#This Row],[Returnee Migrants]]</f>
        <v>1829</v>
      </c>
      <c r="AT58" s="66">
        <f>Table13611[[#This Row],[Refugee Targets]]</f>
        <v>0</v>
      </c>
      <c r="AV58" s="79">
        <f>Table9[[#This Row],[2020 Inter-cluster Response ]]</f>
        <v>54551</v>
      </c>
      <c r="AX58" s="79">
        <f>Table13611[[#This Row],[Overall Intersectorial PiN]]-Table13611[[#This Row],[Overall Intersectorial Final Target]]</f>
        <v>4389.3174365456653</v>
      </c>
      <c r="AY58" s="4">
        <v>3</v>
      </c>
    </row>
    <row r="59" spans="1:51" x14ac:dyDescent="0.2">
      <c r="A59" s="3" t="s">
        <v>76</v>
      </c>
      <c r="B59" s="3" t="s">
        <v>82</v>
      </c>
      <c r="C59" s="223" t="s">
        <v>517</v>
      </c>
      <c r="D59" s="209">
        <f>Table136[[#This Row],[Overall Intersectorial Final PiN]]</f>
        <v>55635.602971636428</v>
      </c>
      <c r="E59" s="206">
        <f>Table1345[[#This Row],[CCCM_Target]]</f>
        <v>0</v>
      </c>
      <c r="F59" s="52"/>
      <c r="G59" s="52"/>
      <c r="H59" s="74">
        <v>0</v>
      </c>
      <c r="I59" s="52">
        <v>0</v>
      </c>
      <c r="J59" s="52">
        <v>0</v>
      </c>
      <c r="K59" s="74">
        <f>Table1345[[#This Row],[Education Target]]</f>
        <v>0</v>
      </c>
      <c r="L59" s="74">
        <v>0</v>
      </c>
      <c r="M59" s="74">
        <v>0</v>
      </c>
      <c r="N59" s="52">
        <f>Table1345[[#This Row],[FSC Target]]</f>
        <v>25000</v>
      </c>
      <c r="O59" s="52"/>
      <c r="P59" s="52"/>
      <c r="Q59" s="51">
        <v>4500</v>
      </c>
      <c r="R59" s="213">
        <v>500</v>
      </c>
      <c r="S59" s="52">
        <v>4000</v>
      </c>
      <c r="T59" s="52">
        <f>0.65*Table1345[[#This Row],[Health PiN]]</f>
        <v>8886.5209205807478</v>
      </c>
      <c r="U59" s="74">
        <v>4087.7996234671441</v>
      </c>
      <c r="V59" s="52">
        <v>4798.7212971136041</v>
      </c>
      <c r="W59" s="52">
        <f>Table1345[[#This Row],[Nutrition Target]]</f>
        <v>11831.781863575947</v>
      </c>
      <c r="X59" s="52">
        <v>3807.4887222246198</v>
      </c>
      <c r="Y59" s="52">
        <v>4293.5511122958478</v>
      </c>
      <c r="Z59" s="52">
        <v>7461.4840581109565</v>
      </c>
      <c r="AA59" s="52">
        <f>Table1345[[#This Row],[Shelter/NFIs Target]]</f>
        <v>0</v>
      </c>
      <c r="AB59" s="52"/>
      <c r="AC59" s="52"/>
      <c r="AD59" s="52"/>
      <c r="AE59" s="52"/>
      <c r="AF59" s="52"/>
      <c r="AG59" s="66">
        <f>Table1345[[#This Row],[WASH Targets]]</f>
        <v>0</v>
      </c>
      <c r="AH59" s="52">
        <v>0</v>
      </c>
      <c r="AI59" s="52">
        <v>0</v>
      </c>
      <c r="AJ59" s="52"/>
      <c r="AK59" s="52"/>
      <c r="AL59" s="52"/>
      <c r="AM59" s="84"/>
      <c r="AN59"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25000</v>
      </c>
      <c r="AQ59" s="66">
        <f>Table13611[[#This Row],[Overall Intersectorial Final Target]]-(Table813[[#This Row],[IDPs]]+Table813[[#This Row],[Returnee Migrants]]+Table813[[#This Row],[Refugees]])</f>
        <v>25000</v>
      </c>
      <c r="AR59" s="66">
        <f>Table8[[#This Row],[IDPs]]</f>
        <v>0</v>
      </c>
      <c r="AS59" s="66">
        <f>Table8[[#This Row],[Returnee Migrants]]</f>
        <v>0</v>
      </c>
      <c r="AT59" s="66">
        <f>Table13611[[#This Row],[Refugee Targets]]</f>
        <v>0</v>
      </c>
      <c r="AV59" s="79">
        <f>Table9[[#This Row],[2020 Inter-cluster Response ]]</f>
        <v>9843</v>
      </c>
      <c r="AX59" s="79">
        <f>Table13611[[#This Row],[Overall Intersectorial PiN]]-Table13611[[#This Row],[Overall Intersectorial Final Target]]</f>
        <v>30635.602971636428</v>
      </c>
      <c r="AY59" s="4">
        <v>3</v>
      </c>
    </row>
    <row r="60" spans="1:51" x14ac:dyDescent="0.2">
      <c r="A60" s="3" t="s">
        <v>76</v>
      </c>
      <c r="B60" s="3" t="s">
        <v>80</v>
      </c>
      <c r="C60" s="223" t="s">
        <v>518</v>
      </c>
      <c r="D60" s="209">
        <f>Table136[[#This Row],[Overall Intersectorial Final PiN]]</f>
        <v>82188</v>
      </c>
      <c r="E60" s="206">
        <f>Table1345[[#This Row],[CCCM_Target]]</f>
        <v>0</v>
      </c>
      <c r="F60" s="52"/>
      <c r="G60" s="52"/>
      <c r="H60" s="74">
        <v>2773.761745664</v>
      </c>
      <c r="I60" s="52">
        <v>970.81661098239999</v>
      </c>
      <c r="J60" s="52">
        <v>1802.9451346816002</v>
      </c>
      <c r="K60" s="74">
        <f>Table1345[[#This Row],[Education Target]]</f>
        <v>0</v>
      </c>
      <c r="L60" s="74">
        <v>0</v>
      </c>
      <c r="M60" s="74">
        <v>0</v>
      </c>
      <c r="N60" s="52">
        <f>Table1345[[#This Row],[FSC Target]]</f>
        <v>69905.82979399999</v>
      </c>
      <c r="O60" s="52"/>
      <c r="P60" s="52"/>
      <c r="Q60" s="51">
        <v>26255</v>
      </c>
      <c r="R60" s="213">
        <v>9720</v>
      </c>
      <c r="S60" s="52">
        <v>16535</v>
      </c>
      <c r="T60" s="52">
        <f>0.65*Table1345[[#This Row],[Health PiN]]</f>
        <v>39494.839650495924</v>
      </c>
      <c r="U60" s="74">
        <v>18167.626239228124</v>
      </c>
      <c r="V60" s="52">
        <v>21327.2134112678</v>
      </c>
      <c r="W60" s="52">
        <f>Table1345[[#This Row],[Nutrition Target]]</f>
        <v>0</v>
      </c>
      <c r="X60" s="52"/>
      <c r="Y60" s="52"/>
      <c r="Z60" s="52"/>
      <c r="AA60" s="52">
        <f>Table1345[[#This Row],[Shelter/NFIs Target]]</f>
        <v>0</v>
      </c>
      <c r="AB60" s="52"/>
      <c r="AC60" s="52"/>
      <c r="AD60" s="52"/>
      <c r="AE60" s="52"/>
      <c r="AF60" s="52"/>
      <c r="AG60" s="66">
        <f>Table1345[[#This Row],[WASH Targets]]</f>
        <v>56710.53898532749</v>
      </c>
      <c r="AH60" s="52">
        <v>26018.795286468252</v>
      </c>
      <c r="AI60" s="52">
        <v>30691.743698859242</v>
      </c>
      <c r="AJ60" s="52"/>
      <c r="AK60" s="52"/>
      <c r="AL60" s="52"/>
      <c r="AM60" s="84"/>
      <c r="AN60"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69905.82979399999</v>
      </c>
      <c r="AQ60" s="66">
        <f>Table13611[[#This Row],[Overall Intersectorial Final Target]]-(Table813[[#This Row],[IDPs]]+Table813[[#This Row],[Returnee Migrants]]+Table813[[#This Row],[Refugees]])</f>
        <v>69905.82979399999</v>
      </c>
      <c r="AR60" s="66">
        <f>Table8[[#This Row],[IDPs]]</f>
        <v>0</v>
      </c>
      <c r="AS60" s="66">
        <f>Table8[[#This Row],[Returnee Migrants]]</f>
        <v>0</v>
      </c>
      <c r="AT60" s="66">
        <f>Table13611[[#This Row],[Refugee Targets]]</f>
        <v>0</v>
      </c>
      <c r="AV60" s="79">
        <f>Table9[[#This Row],[2020 Inter-cluster Response ]]</f>
        <v>95279</v>
      </c>
      <c r="AX60" s="79">
        <f>Table13611[[#This Row],[Overall Intersectorial PiN]]-Table13611[[#This Row],[Overall Intersectorial Final Target]]</f>
        <v>12282.17020600001</v>
      </c>
      <c r="AY60" s="4">
        <v>3</v>
      </c>
    </row>
    <row r="61" spans="1:51" x14ac:dyDescent="0.2">
      <c r="A61" s="3" t="s">
        <v>76</v>
      </c>
      <c r="B61" s="3" t="s">
        <v>81</v>
      </c>
      <c r="C61" s="223" t="s">
        <v>518</v>
      </c>
      <c r="D61" s="209">
        <f>Table136[[#This Row],[Overall Intersectorial Final PiN]]</f>
        <v>116542.28956446411</v>
      </c>
      <c r="E61" s="206">
        <f>Table1345[[#This Row],[CCCM_Target]]</f>
        <v>0</v>
      </c>
      <c r="F61" s="52"/>
      <c r="G61" s="52"/>
      <c r="H61" s="74">
        <v>3477.8608227999998</v>
      </c>
      <c r="I61" s="52">
        <v>1217.2512879799999</v>
      </c>
      <c r="J61" s="52">
        <v>2260.6095348200001</v>
      </c>
      <c r="K61" s="74">
        <f>Table1345[[#This Row],[Education Target]]</f>
        <v>0</v>
      </c>
      <c r="L61" s="74">
        <v>0</v>
      </c>
      <c r="M61" s="74">
        <v>0</v>
      </c>
      <c r="N61" s="52">
        <f>Table1345[[#This Row],[FSC Target]]</f>
        <v>69400</v>
      </c>
      <c r="O61" s="52"/>
      <c r="P61" s="52"/>
      <c r="Q61" s="51">
        <v>4500</v>
      </c>
      <c r="R61" s="213">
        <v>500</v>
      </c>
      <c r="S61" s="52">
        <v>4000</v>
      </c>
      <c r="T61" s="52">
        <f>0.65*Table1345[[#This Row],[Health PiN]]</f>
        <v>0</v>
      </c>
      <c r="U61" s="74"/>
      <c r="V61" s="52"/>
      <c r="W61" s="52">
        <f>Table1345[[#This Row],[Nutrition Target]]</f>
        <v>0</v>
      </c>
      <c r="X61" s="52"/>
      <c r="Y61" s="52"/>
      <c r="Z61" s="52"/>
      <c r="AA61" s="52">
        <f>Table1345[[#This Row],[Shelter/NFIs Target]]</f>
        <v>1500</v>
      </c>
      <c r="AB61" s="52">
        <v>196</v>
      </c>
      <c r="AC61" s="52">
        <v>214</v>
      </c>
      <c r="AD61" s="52">
        <v>486</v>
      </c>
      <c r="AE61" s="52">
        <v>533</v>
      </c>
      <c r="AF61" s="52">
        <v>71.45</v>
      </c>
      <c r="AG61" s="66">
        <f>Table1345[[#This Row],[WASH Targets]]</f>
        <v>81579.602695124879</v>
      </c>
      <c r="AH61" s="52">
        <v>37428.721716523294</v>
      </c>
      <c r="AI61" s="52">
        <v>44150.880978601592</v>
      </c>
      <c r="AJ61" s="52"/>
      <c r="AK61" s="52"/>
      <c r="AL61" s="52"/>
      <c r="AM61" s="84"/>
      <c r="AN61"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81579.602695124879</v>
      </c>
      <c r="AQ61" s="66">
        <f>Table13611[[#This Row],[Overall Intersectorial Final Target]]-(Table813[[#This Row],[IDPs]]+Table813[[#This Row],[Returnee Migrants]]+Table813[[#This Row],[Refugees]])</f>
        <v>81579.602695124879</v>
      </c>
      <c r="AR61" s="66">
        <f>Table8[[#This Row],[IDPs]]</f>
        <v>0</v>
      </c>
      <c r="AS61" s="66">
        <f>Table8[[#This Row],[Returnee Migrants]]</f>
        <v>0</v>
      </c>
      <c r="AT61" s="66">
        <f>Table13611[[#This Row],[Refugee Targets]]</f>
        <v>0</v>
      </c>
      <c r="AV61" s="79">
        <f>Table9[[#This Row],[2020 Inter-cluster Response ]]</f>
        <v>136948</v>
      </c>
      <c r="AX61" s="79">
        <f>Table13611[[#This Row],[Overall Intersectorial PiN]]-Table13611[[#This Row],[Overall Intersectorial Final Target]]</f>
        <v>34962.686869339232</v>
      </c>
      <c r="AY61" s="4">
        <v>3</v>
      </c>
    </row>
    <row r="62" spans="1:51" x14ac:dyDescent="0.2">
      <c r="A62" s="3" t="s">
        <v>47</v>
      </c>
      <c r="B62" s="3" t="s">
        <v>48</v>
      </c>
      <c r="C62" s="223" t="s">
        <v>518</v>
      </c>
      <c r="D62" s="209">
        <f>Table136[[#This Row],[Overall Intersectorial Final PiN]]</f>
        <v>100841.56536794225</v>
      </c>
      <c r="E62" s="206">
        <f>Table1345[[#This Row],[CCCM_Target]]</f>
        <v>925</v>
      </c>
      <c r="F62" s="52">
        <v>123</v>
      </c>
      <c r="G62" s="52">
        <v>133</v>
      </c>
      <c r="H62" s="74">
        <v>2574.0031699199999</v>
      </c>
      <c r="I62" s="52">
        <v>900.90110947199992</v>
      </c>
      <c r="J62" s="52">
        <v>1673.102060448</v>
      </c>
      <c r="K62" s="74">
        <f>Table1345[[#This Row],[Education Target]]</f>
        <v>0</v>
      </c>
      <c r="L62" s="74">
        <v>0</v>
      </c>
      <c r="M62" s="74">
        <v>0</v>
      </c>
      <c r="N62" s="52">
        <f>Table1345[[#This Row],[FSC Target]]</f>
        <v>24343.373102499998</v>
      </c>
      <c r="O62" s="52"/>
      <c r="P62" s="52"/>
      <c r="Q62" s="51">
        <v>16946</v>
      </c>
      <c r="R62" s="213">
        <v>4485</v>
      </c>
      <c r="S62" s="52">
        <v>12461</v>
      </c>
      <c r="T62" s="52">
        <f>0.65*Table1345[[#This Row],[Health PiN]]</f>
        <v>0</v>
      </c>
      <c r="U62" s="74"/>
      <c r="V62" s="52"/>
      <c r="W62" s="52">
        <f>Table1345[[#This Row],[Nutrition Target]]</f>
        <v>19005.273686344852</v>
      </c>
      <c r="X62" s="52">
        <v>6298.9675391431438</v>
      </c>
      <c r="Y62" s="52">
        <v>6823.8815007384073</v>
      </c>
      <c r="Z62" s="52">
        <v>11764.849292926598</v>
      </c>
      <c r="AA62" s="52">
        <f>Table1345[[#This Row],[Shelter/NFIs Target]]</f>
        <v>450</v>
      </c>
      <c r="AB62" s="52">
        <v>60</v>
      </c>
      <c r="AC62" s="52">
        <v>65</v>
      </c>
      <c r="AD62" s="52">
        <v>145</v>
      </c>
      <c r="AE62" s="52">
        <v>159</v>
      </c>
      <c r="AF62" s="52">
        <v>21.45</v>
      </c>
      <c r="AG62" s="66">
        <f>Table1345[[#This Row],[WASH Targets]]</f>
        <v>70589.095757559568</v>
      </c>
      <c r="AH62" s="52">
        <v>32386.277133568328</v>
      </c>
      <c r="AI62" s="52">
        <v>38202.818623991239</v>
      </c>
      <c r="AJ62" s="52"/>
      <c r="AK62" s="52"/>
      <c r="AL62" s="52"/>
      <c r="AM62" s="84"/>
      <c r="AN62"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70589.095757559568</v>
      </c>
      <c r="AQ62" s="66">
        <f>Table13611[[#This Row],[Overall Intersectorial Final Target]]-(Table813[[#This Row],[IDPs]]+Table813[[#This Row],[Returnee Migrants]]+Table813[[#This Row],[Refugees]])</f>
        <v>69202.095757559568</v>
      </c>
      <c r="AR62" s="66">
        <f>Table8[[#This Row],[IDPs]]</f>
        <v>0</v>
      </c>
      <c r="AS62" s="66">
        <f>Table8[[#This Row],[Returnee Migrants]]</f>
        <v>1387</v>
      </c>
      <c r="AT62" s="66">
        <f>Table13611[[#This Row],[Refugee Targets]]</f>
        <v>0</v>
      </c>
      <c r="AV62" s="79">
        <f>Table9[[#This Row],[2020 Inter-cluster Response ]]</f>
        <v>97332</v>
      </c>
      <c r="AX62" s="79">
        <f>Table13611[[#This Row],[Overall Intersectorial PiN]]-Table13611[[#This Row],[Overall Intersectorial Final Target]]</f>
        <v>30252.469610382686</v>
      </c>
      <c r="AY62" s="4">
        <v>3</v>
      </c>
    </row>
    <row r="63" spans="1:51" x14ac:dyDescent="0.2">
      <c r="A63" s="3" t="s">
        <v>47</v>
      </c>
      <c r="B63" s="3" t="s">
        <v>49</v>
      </c>
      <c r="C63" s="223" t="s">
        <v>518</v>
      </c>
      <c r="D63" s="209">
        <f>Table136[[#This Row],[Overall Intersectorial Final PiN]]</f>
        <v>31405.580570881571</v>
      </c>
      <c r="E63" s="206">
        <f>Table1345[[#This Row],[CCCM_Target]]</f>
        <v>0</v>
      </c>
      <c r="F63" s="52"/>
      <c r="G63" s="52"/>
      <c r="H63" s="74">
        <v>1022.3096671592228</v>
      </c>
      <c r="I63" s="52">
        <v>357.80838350572799</v>
      </c>
      <c r="J63" s="52">
        <v>664.50128365349485</v>
      </c>
      <c r="K63" s="74">
        <f>Table1345[[#This Row],[Education Target]]</f>
        <v>0</v>
      </c>
      <c r="L63" s="74">
        <v>0</v>
      </c>
      <c r="M63" s="74">
        <v>0</v>
      </c>
      <c r="N63" s="52">
        <f>Table1345[[#This Row],[FSC Target]]</f>
        <v>25986.954239999999</v>
      </c>
      <c r="O63" s="52"/>
      <c r="P63" s="52"/>
      <c r="Q63" s="51">
        <v>0</v>
      </c>
      <c r="R63" s="213">
        <v>0</v>
      </c>
      <c r="S63" s="52">
        <v>0</v>
      </c>
      <c r="T63" s="52">
        <f>0.65*Table1345[[#This Row],[Health PiN]]</f>
        <v>5977.304509748953</v>
      </c>
      <c r="U63" s="74">
        <v>2749.5600744845187</v>
      </c>
      <c r="V63" s="52">
        <v>3227.7444352644347</v>
      </c>
      <c r="W63" s="52">
        <f>Table1345[[#This Row],[Nutrition Target]]</f>
        <v>8599.1470610747165</v>
      </c>
      <c r="X63" s="52">
        <v>2871.367366480601</v>
      </c>
      <c r="Y63" s="52">
        <v>3110.6479803539846</v>
      </c>
      <c r="Z63" s="52">
        <v>5234.2634284802625</v>
      </c>
      <c r="AA63" s="52">
        <f>Table1345[[#This Row],[Shelter/NFIs Target]]</f>
        <v>0</v>
      </c>
      <c r="AB63" s="52"/>
      <c r="AC63" s="52"/>
      <c r="AD63" s="52"/>
      <c r="AE63" s="52"/>
      <c r="AF63" s="52"/>
      <c r="AG63" s="66">
        <f>Table1345[[#This Row],[WASH Targets]]</f>
        <v>21983.906399617099</v>
      </c>
      <c r="AH63" s="52">
        <v>10086.216256144324</v>
      </c>
      <c r="AI63" s="52">
        <v>11897.690143472775</v>
      </c>
      <c r="AJ63" s="52"/>
      <c r="AK63" s="52"/>
      <c r="AL63" s="52"/>
      <c r="AM63" s="84"/>
      <c r="AN63"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25986.954239999999</v>
      </c>
      <c r="AQ63" s="66">
        <f>Table13611[[#This Row],[Overall Intersectorial Final Target]]-(Table813[[#This Row],[IDPs]]+Table813[[#This Row],[Returnee Migrants]]+Table813[[#This Row],[Refugees]])</f>
        <v>25986.954239999999</v>
      </c>
      <c r="AR63" s="66">
        <f>Table8[[#This Row],[IDPs]]</f>
        <v>0</v>
      </c>
      <c r="AS63" s="66">
        <f>Table8[[#This Row],[Returnee Migrants]]</f>
        <v>0</v>
      </c>
      <c r="AT63" s="66">
        <f>Table13611[[#This Row],[Refugee Targets]]</f>
        <v>0</v>
      </c>
      <c r="AV63" s="79">
        <f>Table9[[#This Row],[2020 Inter-cluster Response ]]</f>
        <v>11487</v>
      </c>
      <c r="AX63" s="79">
        <f>Table13611[[#This Row],[Overall Intersectorial PiN]]-Table13611[[#This Row],[Overall Intersectorial Final Target]]</f>
        <v>5418.6263308815724</v>
      </c>
      <c r="AY63" s="4">
        <v>3</v>
      </c>
    </row>
    <row r="64" spans="1:51" x14ac:dyDescent="0.2">
      <c r="A64" s="3" t="s">
        <v>47</v>
      </c>
      <c r="B64" s="3" t="s">
        <v>98</v>
      </c>
      <c r="C64" s="223" t="s">
        <v>518</v>
      </c>
      <c r="D64" s="209">
        <f>Table136[[#This Row],[Overall Intersectorial Final PiN]]</f>
        <v>34834.028493612299</v>
      </c>
      <c r="E64" s="206">
        <f>Table1345[[#This Row],[CCCM_Target]]</f>
        <v>1500</v>
      </c>
      <c r="F64" s="52">
        <v>691</v>
      </c>
      <c r="G64" s="52">
        <v>809</v>
      </c>
      <c r="H64" s="74">
        <v>1067.6220547200001</v>
      </c>
      <c r="I64" s="52">
        <v>373.66771915200002</v>
      </c>
      <c r="J64" s="52">
        <v>693.95433556800003</v>
      </c>
      <c r="K64" s="74">
        <f>Table1345[[#This Row],[Education Target]]</f>
        <v>0</v>
      </c>
      <c r="L64" s="74">
        <v>0</v>
      </c>
      <c r="M64" s="74">
        <v>0</v>
      </c>
      <c r="N64" s="52">
        <f>Table1345[[#This Row],[FSC Target]]</f>
        <v>9613.6088849999996</v>
      </c>
      <c r="O64" s="52"/>
      <c r="P64" s="52"/>
      <c r="Q64" s="51">
        <v>0</v>
      </c>
      <c r="R64" s="213">
        <v>0</v>
      </c>
      <c r="S64" s="52">
        <v>0</v>
      </c>
      <c r="T64" s="52">
        <f>0.65*Table1345[[#This Row],[Health PiN]]</f>
        <v>7704.2269367024519</v>
      </c>
      <c r="U64" s="74">
        <v>3543.9443908831281</v>
      </c>
      <c r="V64" s="52">
        <v>4160.2825458193247</v>
      </c>
      <c r="W64" s="52">
        <f>Table1345[[#This Row],[Nutrition Target]]</f>
        <v>0</v>
      </c>
      <c r="X64" s="52"/>
      <c r="Y64" s="52"/>
      <c r="Z64" s="52"/>
      <c r="AA64" s="52">
        <f>Table1345[[#This Row],[Shelter/NFIs Target]]</f>
        <v>0</v>
      </c>
      <c r="AB64" s="52"/>
      <c r="AC64" s="52"/>
      <c r="AD64" s="52"/>
      <c r="AE64" s="52"/>
      <c r="AF64" s="52"/>
      <c r="AG64" s="66">
        <f>Table1345[[#This Row],[WASH Targets]]</f>
        <v>24383.819945528609</v>
      </c>
      <c r="AH64" s="52">
        <v>11187.296591008526</v>
      </c>
      <c r="AI64" s="52">
        <v>13196.523354520084</v>
      </c>
      <c r="AJ64" s="52"/>
      <c r="AK64" s="52"/>
      <c r="AL64" s="52"/>
      <c r="AM64" s="84"/>
      <c r="AN64"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24383.819945528609</v>
      </c>
      <c r="AQ64" s="66">
        <f>Table13611[[#This Row],[Overall Intersectorial Final Target]]-(Table813[[#This Row],[IDPs]]+Table813[[#This Row],[Returnee Migrants]]+Table813[[#This Row],[Refugees]])</f>
        <v>24383.819945528609</v>
      </c>
      <c r="AR64" s="66">
        <f>Table8[[#This Row],[IDPs]]</f>
        <v>0</v>
      </c>
      <c r="AS64" s="66">
        <f>Table8[[#This Row],[Returnee Migrants]]</f>
        <v>0</v>
      </c>
      <c r="AT64" s="66">
        <f>Table13611[[#This Row],[Refugee Targets]]</f>
        <v>0</v>
      </c>
      <c r="AV64" s="79">
        <f>Table9[[#This Row],[2020 Inter-cluster Response ]]</f>
        <v>15024</v>
      </c>
      <c r="AX64" s="79">
        <f>Table13611[[#This Row],[Overall Intersectorial PiN]]-Table13611[[#This Row],[Overall Intersectorial Final Target]]</f>
        <v>10450.20854808369</v>
      </c>
      <c r="AY64" s="4">
        <v>3</v>
      </c>
    </row>
    <row r="65" spans="1:51" x14ac:dyDescent="0.2">
      <c r="A65" s="3" t="s">
        <v>47</v>
      </c>
      <c r="B65" s="3" t="s">
        <v>54</v>
      </c>
      <c r="C65" s="223" t="s">
        <v>517</v>
      </c>
      <c r="D65" s="209">
        <f>Table136[[#This Row],[Overall Intersectorial Final PiN]]</f>
        <v>18353.889605393997</v>
      </c>
      <c r="E65" s="206">
        <f>Table1345[[#This Row],[CCCM_Target]]</f>
        <v>0</v>
      </c>
      <c r="F65" s="52"/>
      <c r="G65" s="52"/>
      <c r="H65" s="74">
        <v>0</v>
      </c>
      <c r="I65" s="52">
        <v>0</v>
      </c>
      <c r="J65" s="52">
        <v>0</v>
      </c>
      <c r="K65" s="74">
        <f>Table1345[[#This Row],[Education Target]]</f>
        <v>0</v>
      </c>
      <c r="L65" s="74">
        <v>0</v>
      </c>
      <c r="M65" s="74">
        <v>0</v>
      </c>
      <c r="N65" s="52">
        <f>Table1345[[#This Row],[FSC Target]]</f>
        <v>10000</v>
      </c>
      <c r="O65" s="52"/>
      <c r="P65" s="52"/>
      <c r="Q65" s="51">
        <v>0</v>
      </c>
      <c r="R65" s="213">
        <v>0</v>
      </c>
      <c r="S65" s="52">
        <v>0</v>
      </c>
      <c r="T65" s="52">
        <f>0.65*Table1345[[#This Row],[Health PiN]]</f>
        <v>3624.2654657143353</v>
      </c>
      <c r="U65" s="74">
        <v>1667.1621142285942</v>
      </c>
      <c r="V65" s="52">
        <v>1957.1033514857411</v>
      </c>
      <c r="W65" s="52">
        <f>Table1345[[#This Row],[Nutrition Target]]</f>
        <v>5141.4451857338354</v>
      </c>
      <c r="X65" s="52">
        <v>1706.1981060805615</v>
      </c>
      <c r="Y65" s="52">
        <v>1848.3812815872752</v>
      </c>
      <c r="Z65" s="52">
        <v>3173.7315961319973</v>
      </c>
      <c r="AA65" s="52">
        <f>Table1345[[#This Row],[Shelter/NFIs Target]]</f>
        <v>0</v>
      </c>
      <c r="AB65" s="52"/>
      <c r="AC65" s="52"/>
      <c r="AD65" s="52"/>
      <c r="AE65" s="52"/>
      <c r="AF65" s="52"/>
      <c r="AG65" s="66">
        <f>Table1345[[#This Row],[WASH Targets]]</f>
        <v>0</v>
      </c>
      <c r="AH65" s="52">
        <v>0</v>
      </c>
      <c r="AI65" s="52">
        <v>0</v>
      </c>
      <c r="AJ65" s="52"/>
      <c r="AK65" s="52"/>
      <c r="AL65" s="52"/>
      <c r="AM65" s="84"/>
      <c r="AN65"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10000</v>
      </c>
      <c r="AQ65" s="66">
        <f>Table13611[[#This Row],[Overall Intersectorial Final Target]]-(Table813[[#This Row],[IDPs]]+Table813[[#This Row],[Returnee Migrants]]+Table813[[#This Row],[Refugees]])</f>
        <v>10000</v>
      </c>
      <c r="AR65" s="66">
        <f>Table8[[#This Row],[IDPs]]</f>
        <v>0</v>
      </c>
      <c r="AS65" s="66">
        <f>Table8[[#This Row],[Returnee Migrants]]</f>
        <v>0</v>
      </c>
      <c r="AT65" s="66">
        <f>Table13611[[#This Row],[Refugee Targets]]</f>
        <v>0</v>
      </c>
      <c r="AV65" s="79">
        <f>Table9[[#This Row],[2020 Inter-cluster Response ]]</f>
        <v>0</v>
      </c>
      <c r="AX65" s="79">
        <f>Table13611[[#This Row],[Overall Intersectorial PiN]]-Table13611[[#This Row],[Overall Intersectorial Final Target]]</f>
        <v>8353.889605393997</v>
      </c>
      <c r="AY65" s="4">
        <v>3</v>
      </c>
    </row>
    <row r="66" spans="1:51" x14ac:dyDescent="0.2">
      <c r="A66" s="3" t="s">
        <v>47</v>
      </c>
      <c r="B66" s="3" t="s">
        <v>50</v>
      </c>
      <c r="C66" s="223" t="s">
        <v>518</v>
      </c>
      <c r="D66" s="209">
        <f>Table136[[#This Row],[Overall Intersectorial Final PiN]]</f>
        <v>67775.519513922918</v>
      </c>
      <c r="E66" s="206">
        <f>Table1345[[#This Row],[CCCM_Target]]</f>
        <v>0</v>
      </c>
      <c r="F66" s="52"/>
      <c r="G66" s="52"/>
      <c r="H66" s="74">
        <v>1749.8430582765764</v>
      </c>
      <c r="I66" s="52">
        <v>612.44507039680173</v>
      </c>
      <c r="J66" s="52">
        <v>1137.3979878797747</v>
      </c>
      <c r="K66" s="74">
        <f>Table1345[[#This Row],[Education Target]]</f>
        <v>0</v>
      </c>
      <c r="L66" s="74">
        <v>0</v>
      </c>
      <c r="M66" s="74">
        <v>0</v>
      </c>
      <c r="N66" s="52">
        <f>Table1345[[#This Row],[FSC Target]]</f>
        <v>47539.747839999996</v>
      </c>
      <c r="O66" s="52"/>
      <c r="P66" s="52"/>
      <c r="Q66" s="51">
        <v>0</v>
      </c>
      <c r="R66" s="213">
        <v>0</v>
      </c>
      <c r="S66" s="52">
        <v>0</v>
      </c>
      <c r="T66" s="52">
        <f>0.65*Table1345[[#This Row],[Health PiN]]</f>
        <v>0</v>
      </c>
      <c r="U66" s="74"/>
      <c r="V66" s="52"/>
      <c r="W66" s="52">
        <f>Table1345[[#This Row],[Nutrition Target]]</f>
        <v>13424.393972293446</v>
      </c>
      <c r="X66" s="52"/>
      <c r="Y66" s="52"/>
      <c r="Z66" s="52"/>
      <c r="AA66" s="52">
        <f>Table1345[[#This Row],[Shelter/NFIs Target]]</f>
        <v>0</v>
      </c>
      <c r="AB66" s="52"/>
      <c r="AC66" s="52"/>
      <c r="AD66" s="52"/>
      <c r="AE66" s="52"/>
      <c r="AF66" s="52"/>
      <c r="AG66" s="66">
        <f>Table1345[[#This Row],[WASH Targets]]</f>
        <v>47442.863659746043</v>
      </c>
      <c r="AH66" s="52">
        <v>21766.785847091483</v>
      </c>
      <c r="AI66" s="52">
        <v>25676.077812654563</v>
      </c>
      <c r="AJ66" s="52"/>
      <c r="AK66" s="52"/>
      <c r="AL66" s="52"/>
      <c r="AM66" s="84"/>
      <c r="AN66"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47539.747839999996</v>
      </c>
      <c r="AQ66" s="66">
        <f>Table13611[[#This Row],[Overall Intersectorial Final Target]]-(Table813[[#This Row],[IDPs]]+Table813[[#This Row],[Returnee Migrants]]+Table813[[#This Row],[Refugees]])</f>
        <v>47539.747839999996</v>
      </c>
      <c r="AR66" s="66">
        <f>Table8[[#This Row],[IDPs]]</f>
        <v>0</v>
      </c>
      <c r="AS66" s="66">
        <f>Table8[[#This Row],[Returnee Migrants]]</f>
        <v>0</v>
      </c>
      <c r="AT66" s="66">
        <f>Table13611[[#This Row],[Refugee Targets]]</f>
        <v>0</v>
      </c>
      <c r="AV66" s="79">
        <f>Table9[[#This Row],[2020 Inter-cluster Response ]]</f>
        <v>42403</v>
      </c>
      <c r="AX66" s="79">
        <f>Table13611[[#This Row],[Overall Intersectorial PiN]]-Table13611[[#This Row],[Overall Intersectorial Final Target]]</f>
        <v>20235.771673922922</v>
      </c>
      <c r="AY66" s="4">
        <v>3</v>
      </c>
    </row>
    <row r="67" spans="1:51" x14ac:dyDescent="0.2">
      <c r="A67" s="3" t="s">
        <v>47</v>
      </c>
      <c r="B67" s="3" t="s">
        <v>51</v>
      </c>
      <c r="C67" s="223" t="s">
        <v>518</v>
      </c>
      <c r="D67" s="209">
        <f>Table136[[#This Row],[Overall Intersectorial Final PiN]]</f>
        <v>77804.056541640573</v>
      </c>
      <c r="E67" s="206">
        <f>Table1345[[#This Row],[CCCM_Target]]</f>
        <v>0</v>
      </c>
      <c r="F67" s="52"/>
      <c r="G67" s="52"/>
      <c r="H67" s="74">
        <v>1907.7374232799998</v>
      </c>
      <c r="I67" s="52">
        <v>667.70809814799986</v>
      </c>
      <c r="J67" s="52">
        <v>1240.0293251319999</v>
      </c>
      <c r="K67" s="74">
        <f>Table1345[[#This Row],[Education Target]]</f>
        <v>0</v>
      </c>
      <c r="L67" s="74">
        <v>8864.4599999999991</v>
      </c>
      <c r="M67" s="74">
        <v>9043.5400000000009</v>
      </c>
      <c r="N67" s="52">
        <f>Table1345[[#This Row],[FSC Target]]</f>
        <v>13393.409471999999</v>
      </c>
      <c r="O67" s="52"/>
      <c r="P67" s="52"/>
      <c r="Q67" s="51">
        <v>0</v>
      </c>
      <c r="R67" s="213">
        <v>0</v>
      </c>
      <c r="S67" s="52">
        <v>0</v>
      </c>
      <c r="T67" s="52">
        <f>0.65*Table1345[[#This Row],[Health PiN]]</f>
        <v>0</v>
      </c>
      <c r="U67" s="74"/>
      <c r="V67" s="52"/>
      <c r="W67" s="52">
        <f>Table1345[[#This Row],[Nutrition Target]]</f>
        <v>14912.004599540198</v>
      </c>
      <c r="X67" s="52">
        <v>4942.3246655766479</v>
      </c>
      <c r="Y67" s="52">
        <v>5354.1850543747014</v>
      </c>
      <c r="Z67" s="52">
        <v>9230.9897591776971</v>
      </c>
      <c r="AA67" s="52">
        <f>Table1345[[#This Row],[Shelter/NFIs Target]]</f>
        <v>0</v>
      </c>
      <c r="AB67" s="52"/>
      <c r="AC67" s="52"/>
      <c r="AD67" s="52"/>
      <c r="AE67" s="52"/>
      <c r="AF67" s="52"/>
      <c r="AG67" s="66">
        <f>Table1345[[#This Row],[WASH Targets]]</f>
        <v>54462.8395791484</v>
      </c>
      <c r="AH67" s="52">
        <v>24987.550798913286</v>
      </c>
      <c r="AI67" s="52">
        <v>29475.288780235118</v>
      </c>
      <c r="AJ67" s="52"/>
      <c r="AK67" s="52"/>
      <c r="AL67" s="52"/>
      <c r="AM67" s="84"/>
      <c r="AN67"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54462.8395791484</v>
      </c>
      <c r="AQ67" s="66">
        <f>Table13611[[#This Row],[Overall Intersectorial Final Target]]-(Table813[[#This Row],[IDPs]]+Table813[[#This Row],[Returnee Migrants]]+Table813[[#This Row],[Refugees]])</f>
        <v>54462.8395791484</v>
      </c>
      <c r="AR67" s="66">
        <f>Table8[[#This Row],[IDPs]]</f>
        <v>0</v>
      </c>
      <c r="AS67" s="66">
        <f>Table8[[#This Row],[Returnee Migrants]]</f>
        <v>0</v>
      </c>
      <c r="AT67" s="66">
        <f>Table13611[[#This Row],[Refugee Targets]]</f>
        <v>0</v>
      </c>
      <c r="AV67" s="79">
        <f>Table9[[#This Row],[2020 Inter-cluster Response ]]</f>
        <v>57823</v>
      </c>
      <c r="AX67" s="79">
        <f>Table13611[[#This Row],[Overall Intersectorial PiN]]-Table13611[[#This Row],[Overall Intersectorial Final Target]]</f>
        <v>23341.216962492173</v>
      </c>
      <c r="AY67" s="4">
        <v>3</v>
      </c>
    </row>
    <row r="68" spans="1:51" x14ac:dyDescent="0.2">
      <c r="A68" s="3" t="s">
        <v>47</v>
      </c>
      <c r="B68" s="3" t="s">
        <v>52</v>
      </c>
      <c r="C68" s="223" t="s">
        <v>518</v>
      </c>
      <c r="D68" s="209">
        <f>Table136[[#This Row],[Overall Intersectorial Final PiN]]</f>
        <v>83461.163572255362</v>
      </c>
      <c r="E68" s="206">
        <f>Table1345[[#This Row],[CCCM_Target]]</f>
        <v>0</v>
      </c>
      <c r="F68" s="52"/>
      <c r="G68" s="52"/>
      <c r="H68" s="74">
        <v>2190.6632846999328</v>
      </c>
      <c r="I68" s="52">
        <v>766.7321496449764</v>
      </c>
      <c r="J68" s="52">
        <v>1423.9311350549563</v>
      </c>
      <c r="K68" s="74">
        <f>Table1345[[#This Row],[Education Target]]</f>
        <v>0</v>
      </c>
      <c r="L68" s="74">
        <v>0</v>
      </c>
      <c r="M68" s="74">
        <v>0</v>
      </c>
      <c r="N68" s="52">
        <f>Table1345[[#This Row],[FSC Target]]</f>
        <v>23187.544705499997</v>
      </c>
      <c r="O68" s="52"/>
      <c r="P68" s="52"/>
      <c r="Q68" s="51">
        <v>0</v>
      </c>
      <c r="R68" s="213">
        <v>0</v>
      </c>
      <c r="S68" s="52">
        <v>0</v>
      </c>
      <c r="T68" s="52">
        <f>0.65*Table1345[[#This Row],[Health PiN]]</f>
        <v>11119.391720792297</v>
      </c>
      <c r="U68" s="74">
        <v>5114.9201915644571</v>
      </c>
      <c r="V68" s="52">
        <v>6004.4715292278406</v>
      </c>
      <c r="W68" s="52">
        <f>Table1345[[#This Row],[Nutrition Target]]</f>
        <v>15996.723018015611</v>
      </c>
      <c r="X68" s="52"/>
      <c r="Y68" s="52"/>
      <c r="Z68" s="52"/>
      <c r="AA68" s="52">
        <f>Table1345[[#This Row],[Shelter/NFIs Target]]</f>
        <v>0</v>
      </c>
      <c r="AB68" s="52"/>
      <c r="AC68" s="52"/>
      <c r="AD68" s="52"/>
      <c r="AE68" s="52"/>
      <c r="AF68" s="52"/>
      <c r="AG68" s="66">
        <f>Table1345[[#This Row],[WASH Targets]]</f>
        <v>58422.814500578752</v>
      </c>
      <c r="AH68" s="52">
        <v>26804.387292865533</v>
      </c>
      <c r="AI68" s="52">
        <v>31618.427207713223</v>
      </c>
      <c r="AJ68" s="52"/>
      <c r="AK68" s="52"/>
      <c r="AL68" s="52"/>
      <c r="AM68" s="84"/>
      <c r="AN68"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58422.814500578752</v>
      </c>
      <c r="AQ68" s="66">
        <f>Table13611[[#This Row],[Overall Intersectorial Final Target]]-(Table813[[#This Row],[IDPs]]+Table813[[#This Row],[Returnee Migrants]]+Table813[[#This Row],[Refugees]])</f>
        <v>58422.814500578752</v>
      </c>
      <c r="AR68" s="66">
        <f>Table8[[#This Row],[IDPs]]</f>
        <v>0</v>
      </c>
      <c r="AS68" s="66">
        <f>Table8[[#This Row],[Returnee Migrants]]</f>
        <v>0</v>
      </c>
      <c r="AT68" s="66">
        <f>Table13611[[#This Row],[Refugee Targets]]</f>
        <v>0</v>
      </c>
      <c r="AV68" s="79">
        <f>Table9[[#This Row],[2020 Inter-cluster Response ]]</f>
        <v>77961</v>
      </c>
      <c r="AX68" s="79">
        <f>Table13611[[#This Row],[Overall Intersectorial PiN]]-Table13611[[#This Row],[Overall Intersectorial Final Target]]</f>
        <v>25038.34907167661</v>
      </c>
      <c r="AY68" s="4">
        <v>3</v>
      </c>
    </row>
    <row r="69" spans="1:51" x14ac:dyDescent="0.2">
      <c r="A69" s="3" t="s">
        <v>47</v>
      </c>
      <c r="B69" s="3" t="s">
        <v>53</v>
      </c>
      <c r="C69" s="223" t="s">
        <v>518</v>
      </c>
      <c r="D69" s="209">
        <f>Table136[[#This Row],[Overall Intersectorial Final PiN]]</f>
        <v>55269.539960468188</v>
      </c>
      <c r="E69" s="206">
        <f>Table1345[[#This Row],[CCCM_Target]]</f>
        <v>0</v>
      </c>
      <c r="F69" s="52"/>
      <c r="G69" s="52"/>
      <c r="H69" s="74">
        <v>2296.8767955484009</v>
      </c>
      <c r="I69" s="52">
        <v>803.90687844194031</v>
      </c>
      <c r="J69" s="52">
        <v>1492.9699171064606</v>
      </c>
      <c r="K69" s="74">
        <f>Table1345[[#This Row],[Education Target]]</f>
        <v>0</v>
      </c>
      <c r="L69" s="74">
        <v>11926.849228608728</v>
      </c>
      <c r="M69" s="74">
        <v>12167.795677671529</v>
      </c>
      <c r="N69" s="52">
        <f>Table1345[[#This Row],[FSC Target]]</f>
        <v>43315.351360000001</v>
      </c>
      <c r="O69" s="52"/>
      <c r="P69" s="52"/>
      <c r="Q69" s="51">
        <v>0</v>
      </c>
      <c r="R69" s="213">
        <v>0</v>
      </c>
      <c r="S69" s="52">
        <v>0</v>
      </c>
      <c r="T69" s="52">
        <f>0.65*Table1345[[#This Row],[Health PiN]]</f>
        <v>21132.471161355483</v>
      </c>
      <c r="U69" s="74">
        <v>9720.9367342235219</v>
      </c>
      <c r="V69" s="52">
        <v>11411.534427131961</v>
      </c>
      <c r="W69" s="52">
        <f>Table1345[[#This Row],[Nutrition Target]]</f>
        <v>0</v>
      </c>
      <c r="X69" s="52"/>
      <c r="Y69" s="52"/>
      <c r="Z69" s="52"/>
      <c r="AA69" s="52">
        <f>Table1345[[#This Row],[Shelter/NFIs Target]]</f>
        <v>0</v>
      </c>
      <c r="AB69" s="52"/>
      <c r="AC69" s="52"/>
      <c r="AD69" s="52"/>
      <c r="AE69" s="52"/>
      <c r="AF69" s="52"/>
      <c r="AG69" s="66">
        <f>Table1345[[#This Row],[WASH Targets]]</f>
        <v>38688.677972327729</v>
      </c>
      <c r="AH69" s="52">
        <v>17750.365453703966</v>
      </c>
      <c r="AI69" s="52">
        <v>20938.31251862377</v>
      </c>
      <c r="AJ69" s="52"/>
      <c r="AK69" s="52"/>
      <c r="AL69" s="52"/>
      <c r="AM69" s="84"/>
      <c r="AN69"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43315.351360000001</v>
      </c>
      <c r="AQ69" s="66">
        <f>Table13611[[#This Row],[Overall Intersectorial Final Target]]-(Table813[[#This Row],[IDPs]]+Table813[[#This Row],[Returnee Migrants]]+Table813[[#This Row],[Refugees]])</f>
        <v>43315.351360000001</v>
      </c>
      <c r="AR69" s="66">
        <f>Table8[[#This Row],[IDPs]]</f>
        <v>0</v>
      </c>
      <c r="AS69" s="66">
        <f>Table8[[#This Row],[Returnee Migrants]]</f>
        <v>0</v>
      </c>
      <c r="AT69" s="66">
        <f>Table13611[[#This Row],[Refugee Targets]]</f>
        <v>0</v>
      </c>
      <c r="AV69" s="79">
        <f>Table9[[#This Row],[2020 Inter-cluster Response ]]</f>
        <v>47367</v>
      </c>
      <c r="AX69" s="79">
        <f>Table13611[[#This Row],[Overall Intersectorial PiN]]-Table13611[[#This Row],[Overall Intersectorial Final Target]]</f>
        <v>11954.188600468187</v>
      </c>
      <c r="AY69" s="4">
        <v>3</v>
      </c>
    </row>
    <row r="70" spans="1:51" x14ac:dyDescent="0.2">
      <c r="A70" s="3" t="s">
        <v>47</v>
      </c>
      <c r="B70" s="3" t="s">
        <v>55</v>
      </c>
      <c r="C70" s="223" t="s">
        <v>517</v>
      </c>
      <c r="D70" s="209">
        <f>Table136[[#This Row],[Overall Intersectorial Final PiN]]</f>
        <v>16507.837172934189</v>
      </c>
      <c r="E70" s="206">
        <f>Table1345[[#This Row],[CCCM_Target]]</f>
        <v>0</v>
      </c>
      <c r="F70" s="52"/>
      <c r="G70" s="52"/>
      <c r="H70" s="74">
        <v>0</v>
      </c>
      <c r="I70" s="52">
        <v>0</v>
      </c>
      <c r="J70" s="52">
        <v>0</v>
      </c>
      <c r="K70" s="74">
        <f>Table1345[[#This Row],[Education Target]]</f>
        <v>0</v>
      </c>
      <c r="L70" s="74">
        <v>0</v>
      </c>
      <c r="M70" s="74">
        <v>0</v>
      </c>
      <c r="N70" s="52">
        <f>Table1345[[#This Row],[FSC Target]]</f>
        <v>10000</v>
      </c>
      <c r="O70" s="52"/>
      <c r="P70" s="52"/>
      <c r="Q70" s="51">
        <v>0</v>
      </c>
      <c r="R70" s="213">
        <v>0</v>
      </c>
      <c r="S70" s="52">
        <v>0</v>
      </c>
      <c r="T70" s="52">
        <f>0.65*Table1345[[#This Row],[Health PiN]]</f>
        <v>0</v>
      </c>
      <c r="U70" s="74"/>
      <c r="V70" s="52"/>
      <c r="W70" s="52">
        <f>Table1345[[#This Row],[Nutrition Target]]</f>
        <v>4624.3135261485386</v>
      </c>
      <c r="X70" s="52">
        <v>1534.5870071959594</v>
      </c>
      <c r="Y70" s="52">
        <v>1662.469257795623</v>
      </c>
      <c r="Z70" s="52">
        <v>2854.5145223139129</v>
      </c>
      <c r="AA70" s="52">
        <f>Table1345[[#This Row],[Shelter/NFIs Target]]</f>
        <v>0</v>
      </c>
      <c r="AB70" s="52"/>
      <c r="AC70" s="52"/>
      <c r="AD70" s="52"/>
      <c r="AE70" s="52"/>
      <c r="AF70" s="52"/>
      <c r="AG70" s="66">
        <f>Table1345[[#This Row],[WASH Targets]]</f>
        <v>0</v>
      </c>
      <c r="AH70" s="52">
        <v>0</v>
      </c>
      <c r="AI70" s="52">
        <v>0</v>
      </c>
      <c r="AJ70" s="52"/>
      <c r="AK70" s="52"/>
      <c r="AL70" s="52"/>
      <c r="AM70" s="84"/>
      <c r="AN70"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10000</v>
      </c>
      <c r="AQ70" s="66">
        <f>Table13611[[#This Row],[Overall Intersectorial Final Target]]-(Table813[[#This Row],[IDPs]]+Table813[[#This Row],[Returnee Migrants]]+Table813[[#This Row],[Refugees]])</f>
        <v>10000</v>
      </c>
      <c r="AR70" s="66">
        <f>Table8[[#This Row],[IDPs]]</f>
        <v>0</v>
      </c>
      <c r="AS70" s="66">
        <f>Table8[[#This Row],[Returnee Migrants]]</f>
        <v>0</v>
      </c>
      <c r="AT70" s="66">
        <f>Table13611[[#This Row],[Refugee Targets]]</f>
        <v>0</v>
      </c>
      <c r="AV70" s="79">
        <f>Table9[[#This Row],[2020 Inter-cluster Response ]]</f>
        <v>0</v>
      </c>
      <c r="AX70" s="79">
        <f>Table13611[[#This Row],[Overall Intersectorial PiN]]-Table13611[[#This Row],[Overall Intersectorial Final Target]]</f>
        <v>6507.8371729341889</v>
      </c>
      <c r="AY70" s="4">
        <v>2</v>
      </c>
    </row>
    <row r="71" spans="1:51" x14ac:dyDescent="0.2">
      <c r="A71" s="3" t="s">
        <v>56</v>
      </c>
      <c r="B71" s="3" t="s">
        <v>97</v>
      </c>
      <c r="C71" s="223" t="s">
        <v>518</v>
      </c>
      <c r="D71" s="209">
        <f>Table136[[#This Row],[Overall Intersectorial Final PiN]]</f>
        <v>56960.705187960681</v>
      </c>
      <c r="E71" s="206">
        <f>Table1345[[#This Row],[CCCM_Target]]</f>
        <v>0</v>
      </c>
      <c r="F71" s="52"/>
      <c r="G71" s="52"/>
      <c r="H71" s="74">
        <v>1783.2178053636442</v>
      </c>
      <c r="I71" s="52">
        <v>624.12623187727547</v>
      </c>
      <c r="J71" s="52">
        <v>1159.0915734863688</v>
      </c>
      <c r="K71" s="74">
        <f>Table1345[[#This Row],[Education Target]]</f>
        <v>0</v>
      </c>
      <c r="L71" s="74">
        <v>14504.49</v>
      </c>
      <c r="M71" s="74">
        <v>14797.51</v>
      </c>
      <c r="N71" s="52">
        <f>Table1345[[#This Row],[FSC Target]]</f>
        <v>8455</v>
      </c>
      <c r="O71" s="52"/>
      <c r="P71" s="52"/>
      <c r="Q71" s="51">
        <v>4618</v>
      </c>
      <c r="R71" s="213">
        <v>416</v>
      </c>
      <c r="S71" s="52">
        <v>4202</v>
      </c>
      <c r="T71" s="52">
        <f>0.65*Table1345[[#This Row],[Health PiN]]</f>
        <v>0</v>
      </c>
      <c r="U71" s="74"/>
      <c r="V71" s="52"/>
      <c r="W71" s="52">
        <f>Table1345[[#This Row],[Nutrition Target]]</f>
        <v>11102.510333246575</v>
      </c>
      <c r="X71" s="52">
        <v>3707.2730156232042</v>
      </c>
      <c r="Y71" s="52">
        <v>4016.2124335918047</v>
      </c>
      <c r="Z71" s="52">
        <v>6758.0497680631333</v>
      </c>
      <c r="AA71" s="52">
        <f>Table1345[[#This Row],[Shelter/NFIs Target]]</f>
        <v>0</v>
      </c>
      <c r="AB71" s="52"/>
      <c r="AC71" s="52"/>
      <c r="AD71" s="52"/>
      <c r="AE71" s="52"/>
      <c r="AF71" s="52"/>
      <c r="AG71" s="66">
        <f>Table1345[[#This Row],[WASH Targets]]</f>
        <v>39872.493631572477</v>
      </c>
      <c r="AH71" s="52">
        <v>18293.500078165453</v>
      </c>
      <c r="AI71" s="52">
        <v>21578.993553407025</v>
      </c>
      <c r="AJ71" s="52"/>
      <c r="AK71" s="52"/>
      <c r="AL71" s="52"/>
      <c r="AM71" s="84"/>
      <c r="AN71"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39872.493631572477</v>
      </c>
      <c r="AQ71" s="66">
        <f>Table13611[[#This Row],[Overall Intersectorial Final Target]]-(Table813[[#This Row],[IDPs]]+Table813[[#This Row],[Returnee Migrants]]+Table813[[#This Row],[Refugees]])</f>
        <v>36790.493631572477</v>
      </c>
      <c r="AR71" s="66">
        <f>Table8[[#This Row],[IDPs]]</f>
        <v>0</v>
      </c>
      <c r="AS71" s="66">
        <f>Table8[[#This Row],[Returnee Migrants]]</f>
        <v>3082</v>
      </c>
      <c r="AT71" s="66">
        <f>Table13611[[#This Row],[Refugee Targets]]</f>
        <v>0</v>
      </c>
      <c r="AV71" s="79">
        <f>Table9[[#This Row],[2020 Inter-cluster Response ]]</f>
        <v>54281</v>
      </c>
      <c r="AX71" s="79">
        <f>Table13611[[#This Row],[Overall Intersectorial PiN]]-Table13611[[#This Row],[Overall Intersectorial Final Target]]</f>
        <v>17088.211556388203</v>
      </c>
      <c r="AY71" s="4">
        <v>3</v>
      </c>
    </row>
    <row r="72" spans="1:51" x14ac:dyDescent="0.2">
      <c r="A72" s="3" t="s">
        <v>56</v>
      </c>
      <c r="B72" s="3" t="s">
        <v>64</v>
      </c>
      <c r="C72" s="223" t="s">
        <v>517</v>
      </c>
      <c r="D72" s="209">
        <f>Table136[[#This Row],[Overall Intersectorial Final PiN]]</f>
        <v>22171.586889588179</v>
      </c>
      <c r="E72" s="206">
        <f>Table1345[[#This Row],[CCCM_Target]]</f>
        <v>0</v>
      </c>
      <c r="F72" s="52"/>
      <c r="G72" s="52"/>
      <c r="H72" s="74">
        <v>0</v>
      </c>
      <c r="I72" s="52">
        <v>0</v>
      </c>
      <c r="J72" s="52">
        <v>0</v>
      </c>
      <c r="K72" s="74">
        <f>Table1345[[#This Row],[Education Target]]</f>
        <v>0</v>
      </c>
      <c r="L72" s="74">
        <v>0</v>
      </c>
      <c r="M72" s="74">
        <v>0</v>
      </c>
      <c r="N72" s="52">
        <f>Table1345[[#This Row],[FSC Target]]</f>
        <v>20000</v>
      </c>
      <c r="O72" s="52"/>
      <c r="P72" s="52"/>
      <c r="Q72" s="51">
        <v>839</v>
      </c>
      <c r="R72" s="213">
        <v>227</v>
      </c>
      <c r="S72" s="52">
        <v>612</v>
      </c>
      <c r="T72" s="52">
        <f>0.65*Table1345[[#This Row],[Health PiN]]</f>
        <v>0</v>
      </c>
      <c r="U72" s="74"/>
      <c r="V72" s="52"/>
      <c r="W72" s="52">
        <f>Table1345[[#This Row],[Nutrition Target]]</f>
        <v>0</v>
      </c>
      <c r="X72" s="52"/>
      <c r="Y72" s="52"/>
      <c r="Z72" s="52"/>
      <c r="AA72" s="52">
        <f>Table1345[[#This Row],[Shelter/NFIs Target]]</f>
        <v>0</v>
      </c>
      <c r="AB72" s="52"/>
      <c r="AC72" s="52"/>
      <c r="AD72" s="52"/>
      <c r="AE72" s="52"/>
      <c r="AF72" s="52"/>
      <c r="AG72" s="66">
        <f>Table1345[[#This Row],[WASH Targets]]</f>
        <v>8889.6502090604808</v>
      </c>
      <c r="AH72" s="52">
        <v>4078.5715159169486</v>
      </c>
      <c r="AI72" s="52">
        <v>4811.0786931435323</v>
      </c>
      <c r="AJ72" s="52"/>
      <c r="AK72" s="52"/>
      <c r="AL72" s="52"/>
      <c r="AM72" s="84"/>
      <c r="AN72"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20000</v>
      </c>
      <c r="AQ72" s="66">
        <f>Table13611[[#This Row],[Overall Intersectorial Final Target]]-(Table813[[#This Row],[IDPs]]+Table813[[#This Row],[Returnee Migrants]]+Table813[[#This Row],[Refugees]])</f>
        <v>20000</v>
      </c>
      <c r="AR72" s="66">
        <f>Table8[[#This Row],[IDPs]]</f>
        <v>0</v>
      </c>
      <c r="AS72" s="66">
        <f>Table8[[#This Row],[Returnee Migrants]]</f>
        <v>0</v>
      </c>
      <c r="AT72" s="66">
        <f>Table13611[[#This Row],[Refugee Targets]]</f>
        <v>0</v>
      </c>
      <c r="AV72" s="79">
        <f>Table9[[#This Row],[2020 Inter-cluster Response ]]</f>
        <v>0</v>
      </c>
      <c r="AX72" s="79">
        <f>Table13611[[#This Row],[Overall Intersectorial PiN]]-Table13611[[#This Row],[Overall Intersectorial Final Target]]</f>
        <v>2171.5868895881795</v>
      </c>
      <c r="AY72" s="4">
        <v>3</v>
      </c>
    </row>
    <row r="73" spans="1:51" x14ac:dyDescent="0.2">
      <c r="A73" s="3" t="s">
        <v>56</v>
      </c>
      <c r="B73" s="3" t="s">
        <v>57</v>
      </c>
      <c r="C73" s="223" t="s">
        <v>518</v>
      </c>
      <c r="D73" s="209">
        <f>Table136[[#This Row],[Overall Intersectorial Final PiN]]</f>
        <v>36027.834668859025</v>
      </c>
      <c r="E73" s="206">
        <f>Table1345[[#This Row],[CCCM_Target]]</f>
        <v>0</v>
      </c>
      <c r="F73" s="52"/>
      <c r="G73" s="52"/>
      <c r="H73" s="74">
        <v>2025.7750989336648</v>
      </c>
      <c r="I73" s="52">
        <v>709.02128462678263</v>
      </c>
      <c r="J73" s="52">
        <v>1316.7538143068821</v>
      </c>
      <c r="K73" s="74">
        <f>Table1345[[#This Row],[Education Target]]</f>
        <v>25130</v>
      </c>
      <c r="L73" s="74">
        <v>12439.35</v>
      </c>
      <c r="M73" s="74">
        <v>12690.65</v>
      </c>
      <c r="N73" s="52">
        <f>Table1345[[#This Row],[FSC Target]]</f>
        <v>19809</v>
      </c>
      <c r="O73" s="52"/>
      <c r="P73" s="52"/>
      <c r="Q73" s="51">
        <v>0</v>
      </c>
      <c r="R73" s="213">
        <v>0</v>
      </c>
      <c r="S73" s="52">
        <v>0</v>
      </c>
      <c r="T73" s="52">
        <f>0.65*Table1345[[#This Row],[Health PiN]]</f>
        <v>11107.272253152663</v>
      </c>
      <c r="U73" s="74">
        <v>5109.3452364502255</v>
      </c>
      <c r="V73" s="52">
        <v>5997.9270167024388</v>
      </c>
      <c r="W73" s="52">
        <f>Table1345[[#This Row],[Nutrition Target]]</f>
        <v>0</v>
      </c>
      <c r="X73" s="52"/>
      <c r="Y73" s="52"/>
      <c r="Z73" s="52"/>
      <c r="AA73" s="52">
        <f>Table1345[[#This Row],[Shelter/NFIs Target]]</f>
        <v>0</v>
      </c>
      <c r="AB73" s="52"/>
      <c r="AC73" s="52"/>
      <c r="AD73" s="52"/>
      <c r="AE73" s="52"/>
      <c r="AF73" s="52"/>
      <c r="AG73" s="66">
        <f>Table1345[[#This Row],[WASH Targets]]</f>
        <v>25219.484268201315</v>
      </c>
      <c r="AH73" s="52">
        <v>11570.699382250763</v>
      </c>
      <c r="AI73" s="52">
        <v>13648.784885950552</v>
      </c>
      <c r="AJ73" s="52"/>
      <c r="AK73" s="52"/>
      <c r="AL73" s="52"/>
      <c r="AM73" s="84"/>
      <c r="AN73"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25219.484268201315</v>
      </c>
      <c r="AQ73" s="66">
        <f>Table13611[[#This Row],[Overall Intersectorial Final Target]]-(Table813[[#This Row],[IDPs]]+Table813[[#This Row],[Returnee Migrants]]+Table813[[#This Row],[Refugees]])</f>
        <v>25219.484268201315</v>
      </c>
      <c r="AR73" s="66">
        <f>Table8[[#This Row],[IDPs]]</f>
        <v>0</v>
      </c>
      <c r="AS73" s="66">
        <f>Table8[[#This Row],[Returnee Migrants]]</f>
        <v>0</v>
      </c>
      <c r="AT73" s="66">
        <f>Table13611[[#This Row],[Refugee Targets]]</f>
        <v>0</v>
      </c>
      <c r="AV73" s="79">
        <f>Table9[[#This Row],[2020 Inter-cluster Response ]]</f>
        <v>20170</v>
      </c>
      <c r="AX73" s="79">
        <f>Table13611[[#This Row],[Overall Intersectorial PiN]]-Table13611[[#This Row],[Overall Intersectorial Final Target]]</f>
        <v>10808.35040065771</v>
      </c>
      <c r="AY73" s="4">
        <v>4</v>
      </c>
    </row>
    <row r="74" spans="1:51" x14ac:dyDescent="0.2">
      <c r="A74" s="3" t="s">
        <v>56</v>
      </c>
      <c r="B74" s="3" t="s">
        <v>59</v>
      </c>
      <c r="C74" s="223" t="s">
        <v>518</v>
      </c>
      <c r="D74" s="209">
        <f>Table136[[#This Row],[Overall Intersectorial Final PiN]]</f>
        <v>56982</v>
      </c>
      <c r="E74" s="206">
        <f>Table1345[[#This Row],[CCCM_Target]]</f>
        <v>0</v>
      </c>
      <c r="F74" s="52"/>
      <c r="G74" s="52"/>
      <c r="H74" s="74">
        <v>1959.6609168950047</v>
      </c>
      <c r="I74" s="52">
        <v>685.88132091325156</v>
      </c>
      <c r="J74" s="52">
        <v>1273.7795959817531</v>
      </c>
      <c r="K74" s="74">
        <f>Table1345[[#This Row],[Education Target]]</f>
        <v>42260</v>
      </c>
      <c r="L74" s="74">
        <v>20918.7</v>
      </c>
      <c r="M74" s="74">
        <v>21341.3</v>
      </c>
      <c r="N74" s="52">
        <f>Table1345[[#This Row],[FSC Target]]</f>
        <v>54613.592639999995</v>
      </c>
      <c r="O74" s="52"/>
      <c r="P74" s="52"/>
      <c r="Q74" s="51">
        <v>0</v>
      </c>
      <c r="R74" s="213">
        <v>0</v>
      </c>
      <c r="S74" s="52">
        <v>0</v>
      </c>
      <c r="T74" s="52">
        <f>0.65*Table1345[[#This Row],[Health PiN]]</f>
        <v>14200.127725240545</v>
      </c>
      <c r="U74" s="74">
        <v>6532.0587536106514</v>
      </c>
      <c r="V74" s="52">
        <v>7668.0689716298948</v>
      </c>
      <c r="W74" s="52">
        <f>Table1345[[#This Row],[Nutrition Target]]</f>
        <v>16051.177420459049</v>
      </c>
      <c r="X74" s="52">
        <v>5359.6975038750215</v>
      </c>
      <c r="Y74" s="52">
        <v>5806.338962531273</v>
      </c>
      <c r="Z74" s="52">
        <v>9770.2819081055095</v>
      </c>
      <c r="AA74" s="52">
        <f>Table1345[[#This Row],[Shelter/NFIs Target]]</f>
        <v>0</v>
      </c>
      <c r="AB74" s="52"/>
      <c r="AC74" s="52"/>
      <c r="AD74" s="52"/>
      <c r="AE74" s="52"/>
      <c r="AF74" s="52"/>
      <c r="AG74" s="66">
        <f>Table1345[[#This Row],[WASH Targets]]</f>
        <v>27356.789342695425</v>
      </c>
      <c r="AH74" s="52">
        <v>12551.294950428661</v>
      </c>
      <c r="AI74" s="52">
        <v>14805.494392266764</v>
      </c>
      <c r="AJ74" s="52"/>
      <c r="AK74" s="52"/>
      <c r="AL74" s="52"/>
      <c r="AM74" s="84"/>
      <c r="AN74"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54613.592639999995</v>
      </c>
      <c r="AQ74" s="66">
        <f>Table13611[[#This Row],[Overall Intersectorial Final Target]]-(Table813[[#This Row],[IDPs]]+Table813[[#This Row],[Returnee Migrants]]+Table813[[#This Row],[Refugees]])</f>
        <v>54613.592639999995</v>
      </c>
      <c r="AR74" s="66">
        <f>Table8[[#This Row],[IDPs]]</f>
        <v>0</v>
      </c>
      <c r="AS74" s="66">
        <f>Table8[[#This Row],[Returnee Migrants]]</f>
        <v>0</v>
      </c>
      <c r="AT74" s="66">
        <f>Table13611[[#This Row],[Refugee Targets]]</f>
        <v>0</v>
      </c>
      <c r="AV74" s="79">
        <f>Table9[[#This Row],[2020 Inter-cluster Response ]]</f>
        <v>40870</v>
      </c>
      <c r="AX74" s="79">
        <f>Table13611[[#This Row],[Overall Intersectorial PiN]]-Table13611[[#This Row],[Overall Intersectorial Final Target]]</f>
        <v>2368.4073600000047</v>
      </c>
      <c r="AY74" s="4">
        <v>4</v>
      </c>
    </row>
    <row r="75" spans="1:51" x14ac:dyDescent="0.2">
      <c r="A75" s="3" t="s">
        <v>56</v>
      </c>
      <c r="B75" s="3" t="s">
        <v>63</v>
      </c>
      <c r="C75" s="223" t="s">
        <v>517</v>
      </c>
      <c r="D75" s="209">
        <f>Table136[[#This Row],[Overall Intersectorial Final PiN]]</f>
        <v>10643.014168443413</v>
      </c>
      <c r="E75" s="206">
        <f>Table1345[[#This Row],[CCCM_Target]]</f>
        <v>0</v>
      </c>
      <c r="F75" s="52"/>
      <c r="G75" s="52"/>
      <c r="H75" s="74">
        <v>0</v>
      </c>
      <c r="I75" s="52">
        <v>0</v>
      </c>
      <c r="J75" s="52">
        <v>0</v>
      </c>
      <c r="K75" s="74">
        <f>Table1345[[#This Row],[Education Target]]</f>
        <v>0</v>
      </c>
      <c r="L75" s="74">
        <v>0</v>
      </c>
      <c r="M75" s="74">
        <v>0</v>
      </c>
      <c r="N75" s="52">
        <f>Table1345[[#This Row],[FSC Target]]</f>
        <v>10000</v>
      </c>
      <c r="O75" s="52"/>
      <c r="P75" s="52"/>
      <c r="Q75" s="51">
        <v>0</v>
      </c>
      <c r="R75" s="213">
        <v>0</v>
      </c>
      <c r="S75" s="52">
        <v>0</v>
      </c>
      <c r="T75" s="52">
        <f>0.65*Table1345[[#This Row],[Health PiN]]</f>
        <v>0</v>
      </c>
      <c r="U75" s="74"/>
      <c r="V75" s="52"/>
      <c r="W75" s="52">
        <f>Table1345[[#This Row],[Nutrition Target]]</f>
        <v>0</v>
      </c>
      <c r="X75" s="52"/>
      <c r="Y75" s="52"/>
      <c r="Z75" s="52"/>
      <c r="AA75" s="52">
        <f>Table1345[[#This Row],[Shelter/NFIs Target]]</f>
        <v>0</v>
      </c>
      <c r="AB75" s="52"/>
      <c r="AC75" s="52"/>
      <c r="AD75" s="52"/>
      <c r="AE75" s="52"/>
      <c r="AF75" s="52"/>
      <c r="AG75" s="66">
        <f>Table1345[[#This Row],[WASH Targets]]</f>
        <v>0</v>
      </c>
      <c r="AH75" s="52">
        <v>0</v>
      </c>
      <c r="AI75" s="52">
        <v>0</v>
      </c>
      <c r="AJ75" s="52"/>
      <c r="AK75" s="52"/>
      <c r="AL75" s="52"/>
      <c r="AM75" s="84"/>
      <c r="AN75"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10000</v>
      </c>
      <c r="AQ75" s="66">
        <f>Table13611[[#This Row],[Overall Intersectorial Final Target]]-(Table813[[#This Row],[IDPs]]+Table813[[#This Row],[Returnee Migrants]]+Table813[[#This Row],[Refugees]])</f>
        <v>10000</v>
      </c>
      <c r="AR75" s="66">
        <f>Table8[[#This Row],[IDPs]]</f>
        <v>0</v>
      </c>
      <c r="AS75" s="66">
        <f>Table8[[#This Row],[Returnee Migrants]]</f>
        <v>0</v>
      </c>
      <c r="AT75" s="66">
        <f>Table13611[[#This Row],[Refugee Targets]]</f>
        <v>0</v>
      </c>
      <c r="AV75" s="79">
        <f>Table9[[#This Row],[2020 Inter-cluster Response ]]</f>
        <v>0</v>
      </c>
      <c r="AX75" s="79">
        <f>Table13611[[#This Row],[Overall Intersectorial PiN]]-Table13611[[#This Row],[Overall Intersectorial Final Target]]</f>
        <v>643.01416844341293</v>
      </c>
      <c r="AY75" s="4">
        <v>2</v>
      </c>
    </row>
    <row r="76" spans="1:51" x14ac:dyDescent="0.2">
      <c r="A76" s="3" t="s">
        <v>56</v>
      </c>
      <c r="B76" s="3" t="s">
        <v>60</v>
      </c>
      <c r="C76" s="223" t="s">
        <v>518</v>
      </c>
      <c r="D76" s="209">
        <f>Table136[[#This Row],[Overall Intersectorial Final PiN]]</f>
        <v>47172.774117895635</v>
      </c>
      <c r="E76" s="206">
        <f>Table1345[[#This Row],[CCCM_Target]]</f>
        <v>0</v>
      </c>
      <c r="F76" s="52"/>
      <c r="G76" s="52"/>
      <c r="H76" s="74">
        <v>1436.1973684932022</v>
      </c>
      <c r="I76" s="52">
        <v>502.66907897262075</v>
      </c>
      <c r="J76" s="52">
        <v>933.52828952058144</v>
      </c>
      <c r="K76" s="74">
        <f>Table1345[[#This Row],[Education Target]]</f>
        <v>32608</v>
      </c>
      <c r="L76" s="74">
        <v>16140.96</v>
      </c>
      <c r="M76" s="74">
        <v>16467.04</v>
      </c>
      <c r="N76" s="52">
        <f>Table1345[[#This Row],[FSC Target]]</f>
        <v>9234.8994599999987</v>
      </c>
      <c r="O76" s="52"/>
      <c r="P76" s="52"/>
      <c r="Q76" s="51">
        <v>7000</v>
      </c>
      <c r="R76" s="213">
        <v>1000</v>
      </c>
      <c r="S76" s="52">
        <v>6000</v>
      </c>
      <c r="T76" s="52">
        <f>0.65*Table1345[[#This Row],[Health PiN]]</f>
        <v>0</v>
      </c>
      <c r="U76" s="74"/>
      <c r="V76" s="52"/>
      <c r="W76" s="52">
        <f>Table1345[[#This Row],[Nutrition Target]]</f>
        <v>0</v>
      </c>
      <c r="X76" s="52"/>
      <c r="Y76" s="52"/>
      <c r="Z76" s="52"/>
      <c r="AA76" s="52">
        <f>Table1345[[#This Row],[Shelter/NFIs Target]]</f>
        <v>0</v>
      </c>
      <c r="AB76" s="52"/>
      <c r="AC76" s="52"/>
      <c r="AD76" s="52"/>
      <c r="AE76" s="52"/>
      <c r="AF76" s="52"/>
      <c r="AG76" s="66">
        <f>Table1345[[#This Row],[WASH Targets]]</f>
        <v>33020.941882526946</v>
      </c>
      <c r="AH76" s="52">
        <v>15150.008135703361</v>
      </c>
      <c r="AI76" s="52">
        <v>17870.933746823583</v>
      </c>
      <c r="AJ76" s="52"/>
      <c r="AK76" s="52"/>
      <c r="AL76" s="52"/>
      <c r="AM76" s="84"/>
      <c r="AN76"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33020.941882526946</v>
      </c>
      <c r="AQ76" s="66">
        <f>Table13611[[#This Row],[Overall Intersectorial Final Target]]-(Table813[[#This Row],[IDPs]]+Table813[[#This Row],[Returnee Migrants]]+Table813[[#This Row],[Refugees]])</f>
        <v>33020.941882526946</v>
      </c>
      <c r="AR76" s="66">
        <f>Table8[[#This Row],[IDPs]]</f>
        <v>0</v>
      </c>
      <c r="AS76" s="66">
        <f>Table8[[#This Row],[Returnee Migrants]]</f>
        <v>0</v>
      </c>
      <c r="AT76" s="66">
        <f>Table13611[[#This Row],[Refugee Targets]]</f>
        <v>0</v>
      </c>
      <c r="AV76" s="79">
        <f>Table9[[#This Row],[2020 Inter-cluster Response ]]</f>
        <v>31312</v>
      </c>
      <c r="AX76" s="79">
        <f>Table13611[[#This Row],[Overall Intersectorial PiN]]-Table13611[[#This Row],[Overall Intersectorial Final Target]]</f>
        <v>14151.832235368689</v>
      </c>
      <c r="AY76" s="4">
        <v>3</v>
      </c>
    </row>
    <row r="77" spans="1:51" x14ac:dyDescent="0.2">
      <c r="A77" s="3" t="s">
        <v>56</v>
      </c>
      <c r="B77" s="3" t="s">
        <v>58</v>
      </c>
      <c r="C77" s="223" t="s">
        <v>518</v>
      </c>
      <c r="D77" s="209">
        <f>Table136[[#This Row],[Overall Intersectorial Final PiN]]</f>
        <v>35922.916187619994</v>
      </c>
      <c r="E77" s="206">
        <f>Table1345[[#This Row],[CCCM_Target]]</f>
        <v>0</v>
      </c>
      <c r="F77" s="52"/>
      <c r="G77" s="52"/>
      <c r="H77" s="74">
        <v>1567.282812938734</v>
      </c>
      <c r="I77" s="52">
        <v>548.54898452855684</v>
      </c>
      <c r="J77" s="52">
        <v>1018.7338284101771</v>
      </c>
      <c r="K77" s="74">
        <f>Table1345[[#This Row],[Education Target]]</f>
        <v>26672</v>
      </c>
      <c r="L77" s="74">
        <v>13202.64</v>
      </c>
      <c r="M77" s="74">
        <v>13469.36</v>
      </c>
      <c r="N77" s="52">
        <f>Table1345[[#This Row],[FSC Target]]</f>
        <v>14063.131342000001</v>
      </c>
      <c r="O77" s="52"/>
      <c r="P77" s="52"/>
      <c r="Q77" s="51">
        <v>0</v>
      </c>
      <c r="R77" s="213">
        <v>0</v>
      </c>
      <c r="S77" s="52">
        <v>0</v>
      </c>
      <c r="T77" s="52">
        <f>0.65*Table1345[[#This Row],[Health PiN]]</f>
        <v>0</v>
      </c>
      <c r="U77" s="74"/>
      <c r="V77" s="52"/>
      <c r="W77" s="52">
        <f>Table1345[[#This Row],[Nutrition Target]]</f>
        <v>0</v>
      </c>
      <c r="X77" s="52"/>
      <c r="Y77" s="52"/>
      <c r="Z77" s="52"/>
      <c r="AA77" s="52">
        <f>Table1345[[#This Row],[Shelter/NFIs Target]]</f>
        <v>0</v>
      </c>
      <c r="AB77" s="52"/>
      <c r="AC77" s="52"/>
      <c r="AD77" s="52"/>
      <c r="AE77" s="52"/>
      <c r="AF77" s="52"/>
      <c r="AG77" s="66">
        <f>Table1345[[#This Row],[WASH Targets]]</f>
        <v>25146.041331333996</v>
      </c>
      <c r="AH77" s="52">
        <v>11537.003762816037</v>
      </c>
      <c r="AI77" s="52">
        <v>13609.037568517959</v>
      </c>
      <c r="AJ77" s="52"/>
      <c r="AK77" s="52"/>
      <c r="AL77" s="52"/>
      <c r="AM77" s="84"/>
      <c r="AN77" s="89">
        <v>25146.041331333996</v>
      </c>
      <c r="AQ77" s="66">
        <f>Table13611[[#This Row],[Overall Intersectorial Final Target]]-(Table813[[#This Row],[IDPs]]+Table813[[#This Row],[Returnee Migrants]]+Table813[[#This Row],[Refugees]])</f>
        <v>25146.041331333996</v>
      </c>
      <c r="AR77" s="66">
        <f>Table8[[#This Row],[IDPs]]</f>
        <v>0</v>
      </c>
      <c r="AS77" s="66">
        <f>Table8[[#This Row],[Returnee Migrants]]</f>
        <v>0</v>
      </c>
      <c r="AT77" s="66">
        <f>Table13611[[#This Row],[Refugee Targets]]</f>
        <v>0</v>
      </c>
      <c r="AV77" s="79">
        <f>Table9[[#This Row],[2020 Inter-cluster Response ]]</f>
        <v>22298</v>
      </c>
      <c r="AX77" s="79">
        <f>Table13611[[#This Row],[Overall Intersectorial PiN]]-Table13611[[#This Row],[Overall Intersectorial Final Target]]</f>
        <v>10776.874856285998</v>
      </c>
      <c r="AY77" s="4">
        <v>3</v>
      </c>
    </row>
    <row r="78" spans="1:51" x14ac:dyDescent="0.2">
      <c r="A78" s="3" t="s">
        <v>56</v>
      </c>
      <c r="B78" s="3" t="s">
        <v>61</v>
      </c>
      <c r="C78" s="223" t="s">
        <v>518</v>
      </c>
      <c r="D78" s="209">
        <f>Table136[[#This Row],[Overall Intersectorial Final PiN]]</f>
        <v>32842.148879722408</v>
      </c>
      <c r="E78" s="206">
        <f>Table1345[[#This Row],[CCCM_Target]]</f>
        <v>0</v>
      </c>
      <c r="F78" s="52"/>
      <c r="G78" s="52"/>
      <c r="H78" s="74">
        <v>1849.5803200775367</v>
      </c>
      <c r="I78" s="52">
        <v>647.35311202713785</v>
      </c>
      <c r="J78" s="52">
        <v>1202.227208050399</v>
      </c>
      <c r="K78" s="74">
        <f>Table1345[[#This Row],[Education Target]]</f>
        <v>20441</v>
      </c>
      <c r="L78" s="74">
        <v>10118.295</v>
      </c>
      <c r="M78" s="74">
        <v>10322.705</v>
      </c>
      <c r="N78" s="52">
        <f>Table1345[[#This Row],[FSC Target]]</f>
        <v>9330</v>
      </c>
      <c r="O78" s="52"/>
      <c r="P78" s="52"/>
      <c r="Q78" s="51">
        <v>0</v>
      </c>
      <c r="R78" s="213">
        <v>0</v>
      </c>
      <c r="S78" s="52">
        <v>0</v>
      </c>
      <c r="T78" s="52">
        <f>0.65*Table1345[[#This Row],[Health PiN]]</f>
        <v>0</v>
      </c>
      <c r="U78" s="74"/>
      <c r="V78" s="52"/>
      <c r="W78" s="52">
        <f>Table1345[[#This Row],[Nutrition Target]]</f>
        <v>12724.633959053828</v>
      </c>
      <c r="X78" s="52">
        <v>4205.2446411067467</v>
      </c>
      <c r="Y78" s="52">
        <v>4555.6816945323089</v>
      </c>
      <c r="Z78" s="52">
        <v>7927.4152468295479</v>
      </c>
      <c r="AA78" s="52">
        <f>Table1345[[#This Row],[Shelter/NFIs Target]]</f>
        <v>0</v>
      </c>
      <c r="AB78" s="52"/>
      <c r="AC78" s="52"/>
      <c r="AD78" s="52"/>
      <c r="AE78" s="52"/>
      <c r="AF78" s="52"/>
      <c r="AG78" s="66">
        <f>Table1345[[#This Row],[WASH Targets]]</f>
        <v>22989.504215805686</v>
      </c>
      <c r="AH78" s="52">
        <v>10547.584534211648</v>
      </c>
      <c r="AI78" s="52">
        <v>12441.91968159404</v>
      </c>
      <c r="AJ78" s="52"/>
      <c r="AK78" s="52"/>
      <c r="AL78" s="52"/>
      <c r="AM78" s="84"/>
      <c r="AN78"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22989.504215805686</v>
      </c>
      <c r="AQ78" s="66">
        <f>Table13611[[#This Row],[Overall Intersectorial Final Target]]-(Table813[[#This Row],[IDPs]]+Table813[[#This Row],[Returnee Migrants]]+Table813[[#This Row],[Refugees]])</f>
        <v>22989.504215805686</v>
      </c>
      <c r="AR78" s="66">
        <f>Table8[[#This Row],[IDPs]]</f>
        <v>0</v>
      </c>
      <c r="AS78" s="66">
        <f>Table8[[#This Row],[Returnee Migrants]]</f>
        <v>0</v>
      </c>
      <c r="AT78" s="66">
        <f>Table13611[[#This Row],[Refugee Targets]]</f>
        <v>0</v>
      </c>
      <c r="AV78" s="79">
        <f>Table9[[#This Row],[2020 Inter-cluster Response ]]</f>
        <v>66572</v>
      </c>
      <c r="AX78" s="79">
        <f>Table13611[[#This Row],[Overall Intersectorial PiN]]-Table13611[[#This Row],[Overall Intersectorial Final Target]]</f>
        <v>9852.6446639167225</v>
      </c>
      <c r="AY78" s="4">
        <v>3</v>
      </c>
    </row>
    <row r="79" spans="1:51" x14ac:dyDescent="0.2">
      <c r="A79" s="3" t="s">
        <v>56</v>
      </c>
      <c r="B79" s="3" t="s">
        <v>65</v>
      </c>
      <c r="C79" s="223" t="s">
        <v>517</v>
      </c>
      <c r="D79" s="209">
        <f>Table136[[#This Row],[Overall Intersectorial Final PiN]]</f>
        <v>6117.3521887735769</v>
      </c>
      <c r="E79" s="206">
        <f>Table1345[[#This Row],[CCCM_Target]]</f>
        <v>0</v>
      </c>
      <c r="F79" s="52"/>
      <c r="G79" s="52"/>
      <c r="H79" s="74">
        <v>0</v>
      </c>
      <c r="I79" s="52">
        <v>0</v>
      </c>
      <c r="J79" s="52">
        <v>0</v>
      </c>
      <c r="K79" s="74">
        <f>Table1345[[#This Row],[Education Target]]</f>
        <v>0</v>
      </c>
      <c r="L79" s="74">
        <v>0</v>
      </c>
      <c r="M79" s="74">
        <v>0</v>
      </c>
      <c r="N79" s="52">
        <f>Table1345[[#This Row],[FSC Target]]</f>
        <v>0</v>
      </c>
      <c r="O79" s="52"/>
      <c r="P79" s="52"/>
      <c r="Q79" s="51">
        <v>0</v>
      </c>
      <c r="R79" s="213">
        <v>0</v>
      </c>
      <c r="S79" s="52">
        <v>0</v>
      </c>
      <c r="T79" s="52">
        <f>0.65*Table1345[[#This Row],[Health PiN]]</f>
        <v>0</v>
      </c>
      <c r="U79" s="74"/>
      <c r="V79" s="52"/>
      <c r="W79" s="52">
        <f>Table1345[[#This Row],[Nutrition Target]]</f>
        <v>0</v>
      </c>
      <c r="X79" s="52"/>
      <c r="Y79" s="52"/>
      <c r="Z79" s="52"/>
      <c r="AA79" s="52">
        <f>Table1345[[#This Row],[Shelter/NFIs Target]]</f>
        <v>0</v>
      </c>
      <c r="AB79" s="52"/>
      <c r="AC79" s="52"/>
      <c r="AD79" s="52"/>
      <c r="AE79" s="52"/>
      <c r="AF79" s="52"/>
      <c r="AG79" s="66">
        <f>Table1345[[#This Row],[WASH Targets]]</f>
        <v>2452.7392393985606</v>
      </c>
      <c r="AH79" s="52">
        <v>1125.3167630360597</v>
      </c>
      <c r="AI79" s="52">
        <v>1327.4224763625011</v>
      </c>
      <c r="AJ79" s="52"/>
      <c r="AK79" s="52"/>
      <c r="AL79" s="52"/>
      <c r="AM79" s="84"/>
      <c r="AN79"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2452.7392393985606</v>
      </c>
      <c r="AQ79" s="66">
        <f>Table13611[[#This Row],[Overall Intersectorial Final Target]]-(Table813[[#This Row],[IDPs]]+Table813[[#This Row],[Returnee Migrants]]+Table813[[#This Row],[Refugees]])</f>
        <v>2452.7392393985606</v>
      </c>
      <c r="AR79" s="66">
        <f>Table8[[#This Row],[IDPs]]</f>
        <v>0</v>
      </c>
      <c r="AS79" s="66">
        <f>Table8[[#This Row],[Returnee Migrants]]</f>
        <v>0</v>
      </c>
      <c r="AT79" s="66">
        <f>Table13611[[#This Row],[Refugee Targets]]</f>
        <v>0</v>
      </c>
      <c r="AV79" s="79">
        <f>Table9[[#This Row],[2020 Inter-cluster Response ]]</f>
        <v>0</v>
      </c>
      <c r="AX79" s="79">
        <f>Table13611[[#This Row],[Overall Intersectorial PiN]]-Table13611[[#This Row],[Overall Intersectorial Final Target]]</f>
        <v>3664.6129493750163</v>
      </c>
      <c r="AY79" s="4">
        <v>2</v>
      </c>
    </row>
    <row r="80" spans="1:51" x14ac:dyDescent="0.2">
      <c r="A80" s="3" t="s">
        <v>56</v>
      </c>
      <c r="B80" s="3" t="s">
        <v>62</v>
      </c>
      <c r="C80" s="223" t="s">
        <v>518</v>
      </c>
      <c r="D80" s="209">
        <f>Table136[[#This Row],[Overall Intersectorial Final PiN]]</f>
        <v>27557</v>
      </c>
      <c r="E80" s="206">
        <f>Table1345[[#This Row],[CCCM_Target]]</f>
        <v>0</v>
      </c>
      <c r="F80" s="52"/>
      <c r="G80" s="52"/>
      <c r="H80" s="74">
        <v>1029.2082236800002</v>
      </c>
      <c r="I80" s="52">
        <v>360.22287828800006</v>
      </c>
      <c r="J80" s="52">
        <v>668.98534539200011</v>
      </c>
      <c r="K80" s="74">
        <f>Table1345[[#This Row],[Education Target]]</f>
        <v>0</v>
      </c>
      <c r="L80" s="74">
        <v>7043.85</v>
      </c>
      <c r="M80" s="74">
        <v>7186.15</v>
      </c>
      <c r="N80" s="52">
        <f>Table1345[[#This Row],[FSC Target]]</f>
        <v>26636.602879999999</v>
      </c>
      <c r="O80" s="52"/>
      <c r="P80" s="52"/>
      <c r="Q80" s="51">
        <v>0</v>
      </c>
      <c r="R80" s="213">
        <v>0</v>
      </c>
      <c r="S80" s="52">
        <v>0</v>
      </c>
      <c r="T80" s="52">
        <f>0.65*Table1345[[#This Row],[Health PiN]]</f>
        <v>0</v>
      </c>
      <c r="U80" s="74"/>
      <c r="V80" s="52"/>
      <c r="W80" s="52">
        <f>Table1345[[#This Row],[Nutrition Target]]</f>
        <v>0</v>
      </c>
      <c r="X80" s="52"/>
      <c r="Y80" s="52"/>
      <c r="Z80" s="52"/>
      <c r="AA80" s="52">
        <f>Table1345[[#This Row],[Shelter/NFIs Target]]</f>
        <v>0</v>
      </c>
      <c r="AB80" s="52"/>
      <c r="AC80" s="52"/>
      <c r="AD80" s="52"/>
      <c r="AE80" s="52"/>
      <c r="AF80" s="52"/>
      <c r="AG80" s="66">
        <f>Table1345[[#This Row],[WASH Targets]]</f>
        <v>0</v>
      </c>
      <c r="AH80" s="52">
        <v>0</v>
      </c>
      <c r="AI80" s="52">
        <v>0</v>
      </c>
      <c r="AJ80" s="52"/>
      <c r="AK80" s="52"/>
      <c r="AL80" s="52"/>
      <c r="AM80" s="84"/>
      <c r="AN80"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26636.602879999999</v>
      </c>
      <c r="AQ80" s="66">
        <f>Table13611[[#This Row],[Overall Intersectorial Final Target]]-(Table813[[#This Row],[IDPs]]+Table813[[#This Row],[Returnee Migrants]]+Table813[[#This Row],[Refugees]])</f>
        <v>26636.602879999999</v>
      </c>
      <c r="AR80" s="66">
        <f>Table8[[#This Row],[IDPs]]</f>
        <v>0</v>
      </c>
      <c r="AS80" s="66">
        <f>Table8[[#This Row],[Returnee Migrants]]</f>
        <v>0</v>
      </c>
      <c r="AT80" s="66">
        <f>Table13611[[#This Row],[Refugee Targets]]</f>
        <v>0</v>
      </c>
      <c r="AV80" s="79">
        <f>Table9[[#This Row],[2020 Inter-cluster Response ]]</f>
        <v>18587</v>
      </c>
      <c r="AX80" s="79">
        <f>Table13611[[#This Row],[Overall Intersectorial PiN]]-Table13611[[#This Row],[Overall Intersectorial Final Target]]</f>
        <v>920.39712000000145</v>
      </c>
      <c r="AY80" s="4">
        <v>3</v>
      </c>
    </row>
    <row r="81" spans="1:51" x14ac:dyDescent="0.2">
      <c r="A81" s="3" t="s">
        <v>66</v>
      </c>
      <c r="B81" s="3" t="s">
        <v>67</v>
      </c>
      <c r="C81" s="223" t="s">
        <v>518</v>
      </c>
      <c r="D81" s="209">
        <f>Table136[[#This Row],[Overall Intersectorial Final PiN]]</f>
        <v>39546</v>
      </c>
      <c r="E81" s="206">
        <f>Table1345[[#This Row],[CCCM_Target]]</f>
        <v>0</v>
      </c>
      <c r="F81" s="52"/>
      <c r="G81" s="52"/>
      <c r="H81" s="74">
        <v>1322.1994888959998</v>
      </c>
      <c r="I81" s="52">
        <v>462.7698211135999</v>
      </c>
      <c r="J81" s="52">
        <v>859.42966778239986</v>
      </c>
      <c r="K81" s="74">
        <f>Table1345[[#This Row],[Education Target]]</f>
        <v>0</v>
      </c>
      <c r="L81" s="74">
        <v>0</v>
      </c>
      <c r="M81" s="74">
        <v>0</v>
      </c>
      <c r="N81" s="52">
        <f>Table1345[[#This Row],[FSC Target]]</f>
        <v>37902.292480000004</v>
      </c>
      <c r="O81" s="52"/>
      <c r="P81" s="52"/>
      <c r="Q81" s="51">
        <v>1732</v>
      </c>
      <c r="R81" s="213">
        <v>426</v>
      </c>
      <c r="S81" s="52">
        <v>1306</v>
      </c>
      <c r="T81" s="52">
        <f>0.65*Table1345[[#This Row],[Health PiN]]</f>
        <v>0</v>
      </c>
      <c r="U81" s="74"/>
      <c r="V81" s="52"/>
      <c r="W81" s="52">
        <f>Table1345[[#This Row],[Nutrition Target]]</f>
        <v>0</v>
      </c>
      <c r="X81" s="52"/>
      <c r="Y81" s="52"/>
      <c r="Z81" s="52"/>
      <c r="AA81" s="52">
        <f>Table1345[[#This Row],[Shelter/NFIs Target]]</f>
        <v>0</v>
      </c>
      <c r="AB81" s="52"/>
      <c r="AC81" s="52"/>
      <c r="AD81" s="52"/>
      <c r="AE81" s="52"/>
      <c r="AF81" s="52"/>
      <c r="AG81" s="66">
        <f>Table1345[[#This Row],[WASH Targets]]</f>
        <v>26353.515746794466</v>
      </c>
      <c r="AH81" s="52">
        <v>12090.993024629301</v>
      </c>
      <c r="AI81" s="52">
        <v>14262.522722165166</v>
      </c>
      <c r="AJ81" s="52"/>
      <c r="AK81" s="52"/>
      <c r="AL81" s="52"/>
      <c r="AM81" s="84"/>
      <c r="AN81"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37902.292480000004</v>
      </c>
      <c r="AQ81" s="66">
        <f>Table13611[[#This Row],[Overall Intersectorial Final Target]]-(Table813[[#This Row],[IDPs]]+Table813[[#This Row],[Returnee Migrants]]+Table813[[#This Row],[Refugees]])</f>
        <v>37902.292480000004</v>
      </c>
      <c r="AR81" s="66">
        <f>Table8[[#This Row],[IDPs]]</f>
        <v>0</v>
      </c>
      <c r="AS81" s="66">
        <f>Table8[[#This Row],[Returnee Migrants]]</f>
        <v>0</v>
      </c>
      <c r="AT81" s="66">
        <f>Table13611[[#This Row],[Refugee Targets]]</f>
        <v>0</v>
      </c>
      <c r="AV81" s="79">
        <f>Table9[[#This Row],[2020 Inter-cluster Response ]]</f>
        <v>20897</v>
      </c>
      <c r="AX81" s="79">
        <f>Table13611[[#This Row],[Overall Intersectorial PiN]]-Table13611[[#This Row],[Overall Intersectorial Final Target]]</f>
        <v>1643.7075199999963</v>
      </c>
      <c r="AY81" s="4">
        <v>3</v>
      </c>
    </row>
    <row r="82" spans="1:51" x14ac:dyDescent="0.2">
      <c r="A82" s="3" t="s">
        <v>66</v>
      </c>
      <c r="B82" s="3" t="s">
        <v>68</v>
      </c>
      <c r="C82" s="223" t="s">
        <v>518</v>
      </c>
      <c r="D82" s="209">
        <f>Table136[[#This Row],[Overall Intersectorial Final PiN]]</f>
        <v>168922.78565579792</v>
      </c>
      <c r="E82" s="206">
        <f>Table1345[[#This Row],[CCCM_Target]]</f>
        <v>0</v>
      </c>
      <c r="F82" s="52"/>
      <c r="G82" s="52"/>
      <c r="H82" s="74">
        <v>4657.1889421629739</v>
      </c>
      <c r="I82" s="52">
        <v>1630.0161297570407</v>
      </c>
      <c r="J82" s="52">
        <v>3027.1728124059332</v>
      </c>
      <c r="K82" s="74">
        <f>Table1345[[#This Row],[Education Target]]</f>
        <v>0</v>
      </c>
      <c r="L82" s="74">
        <v>22627.638602639287</v>
      </c>
      <c r="M82" s="74">
        <v>23084.762614813815</v>
      </c>
      <c r="N82" s="52">
        <f>Table1345[[#This Row],[FSC Target]]</f>
        <v>104933.66816</v>
      </c>
      <c r="O82" s="52"/>
      <c r="P82" s="52"/>
      <c r="Q82" s="51">
        <v>20483</v>
      </c>
      <c r="R82" s="213">
        <v>5284.4</v>
      </c>
      <c r="S82" s="52">
        <v>15198.6</v>
      </c>
      <c r="T82" s="52">
        <f>0.65*Table1345[[#This Row],[Health PiN]]</f>
        <v>57789.374040141396</v>
      </c>
      <c r="U82" s="74">
        <v>26583.112058465042</v>
      </c>
      <c r="V82" s="52">
        <v>31206.261981676354</v>
      </c>
      <c r="W82" s="52">
        <f>Table1345[[#This Row],[Nutrition Target]]</f>
        <v>34080.912895468005</v>
      </c>
      <c r="X82" s="52">
        <v>11380.061349443231</v>
      </c>
      <c r="Y82" s="52">
        <v>12328.399795230167</v>
      </c>
      <c r="Z82" s="52">
        <v>20744.903501589222</v>
      </c>
      <c r="AA82" s="52">
        <f>Table1345[[#This Row],[Shelter/NFIs Target]]</f>
        <v>0</v>
      </c>
      <c r="AB82" s="52"/>
      <c r="AC82" s="52"/>
      <c r="AD82" s="52"/>
      <c r="AE82" s="52"/>
      <c r="AF82" s="52"/>
      <c r="AG82" s="66">
        <f>Table1345[[#This Row],[WASH Targets]]</f>
        <v>118245.94995905853</v>
      </c>
      <c r="AH82" s="52">
        <v>54251.241841216055</v>
      </c>
      <c r="AI82" s="52">
        <v>63994.708117842485</v>
      </c>
      <c r="AJ82" s="52"/>
      <c r="AK82" s="52"/>
      <c r="AL82" s="52"/>
      <c r="AM82" s="84"/>
      <c r="AN82"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118245.94995905853</v>
      </c>
      <c r="AQ82" s="66">
        <f>Table13611[[#This Row],[Overall Intersectorial Final Target]]-(Table813[[#This Row],[IDPs]]+Table813[[#This Row],[Returnee Migrants]]+Table813[[#This Row],[Refugees]])</f>
        <v>118245.94995905853</v>
      </c>
      <c r="AR82" s="66">
        <f>Table8[[#This Row],[IDPs]]</f>
        <v>0</v>
      </c>
      <c r="AS82" s="66">
        <f>Table8[[#This Row],[Returnee Migrants]]</f>
        <v>0</v>
      </c>
      <c r="AT82" s="66">
        <f>Table13611[[#This Row],[Refugee Targets]]</f>
        <v>0</v>
      </c>
      <c r="AV82" s="79">
        <f>Table9[[#This Row],[2020 Inter-cluster Response ]]</f>
        <v>227034</v>
      </c>
      <c r="AX82" s="79">
        <f>Table13611[[#This Row],[Overall Intersectorial PiN]]-Table13611[[#This Row],[Overall Intersectorial Final Target]]</f>
        <v>50676.835696739392</v>
      </c>
      <c r="AY82" s="4">
        <v>4</v>
      </c>
    </row>
    <row r="83" spans="1:51" x14ac:dyDescent="0.2">
      <c r="A83" s="3" t="s">
        <v>66</v>
      </c>
      <c r="B83" s="3" t="s">
        <v>96</v>
      </c>
      <c r="C83" s="223" t="s">
        <v>518</v>
      </c>
      <c r="D83" s="209">
        <f>Table136[[#This Row],[Overall Intersectorial Final PiN]]</f>
        <v>166002.33394701107</v>
      </c>
      <c r="E83" s="206">
        <f>Table1345[[#This Row],[CCCM_Target]]</f>
        <v>0</v>
      </c>
      <c r="F83" s="52"/>
      <c r="G83" s="52"/>
      <c r="H83" s="74">
        <v>5931.1838752731928</v>
      </c>
      <c r="I83" s="52">
        <v>2075.9143563456173</v>
      </c>
      <c r="J83" s="52">
        <v>3855.2695189275755</v>
      </c>
      <c r="K83" s="74">
        <f>Table1345[[#This Row],[Education Target]]</f>
        <v>81902</v>
      </c>
      <c r="L83" s="74">
        <v>40541.49</v>
      </c>
      <c r="M83" s="74">
        <v>41360.51</v>
      </c>
      <c r="N83" s="52">
        <f>Table1345[[#This Row],[FSC Target]]</f>
        <v>99923.102719999995</v>
      </c>
      <c r="O83" s="52"/>
      <c r="P83" s="52"/>
      <c r="Q83" s="51">
        <v>6558</v>
      </c>
      <c r="R83" s="213">
        <v>1644</v>
      </c>
      <c r="S83" s="52">
        <v>4914</v>
      </c>
      <c r="T83" s="52">
        <f>0.65*Table1345[[#This Row],[Health PiN]]</f>
        <v>73569.216181061725</v>
      </c>
      <c r="U83" s="74">
        <v>33841.839443288394</v>
      </c>
      <c r="V83" s="52">
        <v>39727.376737773331</v>
      </c>
      <c r="W83" s="52">
        <f>Table1345[[#This Row],[Nutrition Target]]</f>
        <v>0</v>
      </c>
      <c r="X83" s="52"/>
      <c r="Y83" s="52"/>
      <c r="Z83" s="52"/>
      <c r="AA83" s="52">
        <f>Table1345[[#This Row],[Shelter/NFIs Target]]</f>
        <v>0</v>
      </c>
      <c r="AB83" s="52"/>
      <c r="AC83" s="52"/>
      <c r="AD83" s="52"/>
      <c r="AE83" s="52"/>
      <c r="AF83" s="52"/>
      <c r="AG83" s="66">
        <f>Table1345[[#This Row],[WASH Targets]]</f>
        <v>116201.63376290773</v>
      </c>
      <c r="AH83" s="52">
        <v>53313.309570422069</v>
      </c>
      <c r="AI83" s="52">
        <v>62888.32419248567</v>
      </c>
      <c r="AJ83" s="52"/>
      <c r="AK83" s="52"/>
      <c r="AL83" s="52"/>
      <c r="AM83" s="84"/>
      <c r="AN83"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116201.63376290773</v>
      </c>
      <c r="AQ83" s="66">
        <f>Table13611[[#This Row],[Overall Intersectorial Final Target]]-(Table813[[#This Row],[IDPs]]+Table813[[#This Row],[Returnee Migrants]]+Table813[[#This Row],[Refugees]])</f>
        <v>116201.63376290773</v>
      </c>
      <c r="AR83" s="66">
        <f>Table8[[#This Row],[IDPs]]</f>
        <v>0</v>
      </c>
      <c r="AS83" s="66">
        <f>Table8[[#This Row],[Returnee Migrants]]</f>
        <v>0</v>
      </c>
      <c r="AT83" s="66">
        <f>Table13611[[#This Row],[Refugee Targets]]</f>
        <v>0</v>
      </c>
      <c r="AV83" s="79">
        <f>Table9[[#This Row],[2020 Inter-cluster Response ]]</f>
        <v>147292</v>
      </c>
      <c r="AX83" s="79">
        <f>Table13611[[#This Row],[Overall Intersectorial PiN]]-Table13611[[#This Row],[Overall Intersectorial Final Target]]</f>
        <v>49800.700184103334</v>
      </c>
      <c r="AY83" s="4">
        <v>4</v>
      </c>
    </row>
    <row r="84" spans="1:51" x14ac:dyDescent="0.2">
      <c r="A84" s="3" t="s">
        <v>66</v>
      </c>
      <c r="B84" s="3" t="s">
        <v>75</v>
      </c>
      <c r="C84" s="223" t="s">
        <v>517</v>
      </c>
      <c r="D84" s="209">
        <f>Table136[[#This Row],[Overall Intersectorial Final PiN]]</f>
        <v>14693.329139907968</v>
      </c>
      <c r="E84" s="206">
        <f>Table1345[[#This Row],[CCCM_Target]]</f>
        <v>0</v>
      </c>
      <c r="F84" s="52"/>
      <c r="G84" s="52"/>
      <c r="H84" s="74">
        <v>0</v>
      </c>
      <c r="I84" s="52">
        <v>0</v>
      </c>
      <c r="J84" s="52">
        <v>0</v>
      </c>
      <c r="K84" s="74">
        <f>Table1345[[#This Row],[Education Target]]</f>
        <v>0</v>
      </c>
      <c r="L84" s="74">
        <v>0</v>
      </c>
      <c r="M84" s="74">
        <v>0</v>
      </c>
      <c r="N84" s="52">
        <f>Table1345[[#This Row],[FSC Target]]</f>
        <v>14693.329139907968</v>
      </c>
      <c r="O84" s="52"/>
      <c r="P84" s="52"/>
      <c r="Q84" s="51">
        <v>529</v>
      </c>
      <c r="R84" s="213">
        <v>121</v>
      </c>
      <c r="S84" s="52">
        <v>408</v>
      </c>
      <c r="T84" s="52">
        <f>0.65*Table1345[[#This Row],[Health PiN]]</f>
        <v>0</v>
      </c>
      <c r="U84" s="74"/>
      <c r="V84" s="52"/>
      <c r="W84" s="52">
        <f>Table1345[[#This Row],[Nutrition Target]]</f>
        <v>0</v>
      </c>
      <c r="X84" s="52"/>
      <c r="Y84" s="52"/>
      <c r="Z84" s="52"/>
      <c r="AA84" s="52">
        <f>Table1345[[#This Row],[Shelter/NFIs Target]]</f>
        <v>0</v>
      </c>
      <c r="AB84" s="52"/>
      <c r="AC84" s="52"/>
      <c r="AD84" s="52"/>
      <c r="AE84" s="52"/>
      <c r="AF84" s="52"/>
      <c r="AG84" s="66">
        <f>Table1345[[#This Row],[WASH Targets]]</f>
        <v>13909.957017800651</v>
      </c>
      <c r="AH84" s="52">
        <v>6381.8882797669385</v>
      </c>
      <c r="AI84" s="52">
        <v>7528.0687380337122</v>
      </c>
      <c r="AJ84" s="52"/>
      <c r="AK84" s="52"/>
      <c r="AL84" s="52"/>
      <c r="AM84" s="84"/>
      <c r="AN84"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14693.329139907968</v>
      </c>
      <c r="AQ84" s="66">
        <f>Table13611[[#This Row],[Overall Intersectorial Final Target]]-(Table813[[#This Row],[IDPs]]+Table813[[#This Row],[Returnee Migrants]]+Table813[[#This Row],[Refugees]])</f>
        <v>14693.329139907968</v>
      </c>
      <c r="AR84" s="66">
        <f>Table8[[#This Row],[IDPs]]</f>
        <v>0</v>
      </c>
      <c r="AS84" s="66">
        <f>Table8[[#This Row],[Returnee Migrants]]</f>
        <v>0</v>
      </c>
      <c r="AT84" s="66">
        <f>Table13611[[#This Row],[Refugee Targets]]</f>
        <v>0</v>
      </c>
      <c r="AV84" s="79">
        <f>Table9[[#This Row],[2020 Inter-cluster Response ]]</f>
        <v>0</v>
      </c>
      <c r="AX84" s="257">
        <f>Table13611[[#This Row],[Overall Intersectorial PiN]]-Table13611[[#This Row],[Overall Intersectorial Final Target]]</f>
        <v>0</v>
      </c>
      <c r="AY84" s="4">
        <v>3</v>
      </c>
    </row>
    <row r="85" spans="1:51" x14ac:dyDescent="0.2">
      <c r="A85" s="3" t="s">
        <v>66</v>
      </c>
      <c r="B85" s="3" t="s">
        <v>69</v>
      </c>
      <c r="C85" s="223" t="s">
        <v>518</v>
      </c>
      <c r="D85" s="209">
        <f>Table136[[#This Row],[Overall Intersectorial Final PiN]]</f>
        <v>45183</v>
      </c>
      <c r="E85" s="206">
        <f>Table1345[[#This Row],[CCCM_Target]]</f>
        <v>0</v>
      </c>
      <c r="F85" s="52"/>
      <c r="G85" s="52"/>
      <c r="H85" s="74">
        <v>2456.9695208007142</v>
      </c>
      <c r="I85" s="52">
        <v>859.93933228024991</v>
      </c>
      <c r="J85" s="52">
        <v>1597.0301885204642</v>
      </c>
      <c r="K85" s="74">
        <f>Table1345[[#This Row],[Education Target]]</f>
        <v>78264</v>
      </c>
      <c r="L85" s="74">
        <v>38740.68</v>
      </c>
      <c r="M85" s="74">
        <v>39523.32</v>
      </c>
      <c r="N85" s="52">
        <f>Table1345[[#This Row],[FSC Target]]</f>
        <v>43305.01152</v>
      </c>
      <c r="O85" s="52"/>
      <c r="P85" s="52"/>
      <c r="Q85" s="51">
        <v>1949</v>
      </c>
      <c r="R85" s="213">
        <v>503</v>
      </c>
      <c r="S85" s="52">
        <v>1446</v>
      </c>
      <c r="T85" s="52">
        <f>0.65*Table1345[[#This Row],[Health PiN]]</f>
        <v>22073.505829488506</v>
      </c>
      <c r="U85" s="74">
        <v>10153.812681564714</v>
      </c>
      <c r="V85" s="52">
        <v>11919.693147923794</v>
      </c>
      <c r="W85" s="52">
        <f>Table1345[[#This Row],[Nutrition Target]]</f>
        <v>12782.257837260728</v>
      </c>
      <c r="X85" s="52">
        <v>4233.7663365753706</v>
      </c>
      <c r="Y85" s="52">
        <v>4586.5801979566513</v>
      </c>
      <c r="Z85" s="52">
        <v>7923.8226054574134</v>
      </c>
      <c r="AA85" s="52">
        <f>Table1345[[#This Row],[Shelter/NFIs Target]]</f>
        <v>0</v>
      </c>
      <c r="AB85" s="52"/>
      <c r="AC85" s="52"/>
      <c r="AD85" s="52"/>
      <c r="AE85" s="52"/>
      <c r="AF85" s="52"/>
      <c r="AG85" s="66">
        <f>Table1345[[#This Row],[WASH Targets]]</f>
        <v>0</v>
      </c>
      <c r="AH85" s="52">
        <v>0</v>
      </c>
      <c r="AI85" s="52">
        <v>0</v>
      </c>
      <c r="AJ85" s="52"/>
      <c r="AK85" s="52"/>
      <c r="AL85" s="52"/>
      <c r="AM85" s="84"/>
      <c r="AN85" s="89">
        <v>43305.01152</v>
      </c>
      <c r="AQ85" s="66">
        <f>Table13611[[#This Row],[Overall Intersectorial Final Target]]-(Table813[[#This Row],[IDPs]]+Table813[[#This Row],[Returnee Migrants]]+Table813[[#This Row],[Refugees]])</f>
        <v>43305.01152</v>
      </c>
      <c r="AR85" s="66">
        <f>Table8[[#This Row],[IDPs]]</f>
        <v>0</v>
      </c>
      <c r="AS85" s="66">
        <f>Table8[[#This Row],[Returnee Migrants]]</f>
        <v>0</v>
      </c>
      <c r="AT85" s="66">
        <f>Table13611[[#This Row],[Refugee Targets]]</f>
        <v>0</v>
      </c>
      <c r="AV85" s="79">
        <f>Table9[[#This Row],[2020 Inter-cluster Response ]]</f>
        <v>96505</v>
      </c>
      <c r="AX85" s="79">
        <f>Table13611[[#This Row],[Overall Intersectorial PiN]]-Table13611[[#This Row],[Overall Intersectorial Final Target]]</f>
        <v>1877.98848</v>
      </c>
      <c r="AY85" s="4">
        <v>3</v>
      </c>
    </row>
    <row r="86" spans="1:51" x14ac:dyDescent="0.2">
      <c r="A86" s="3" t="s">
        <v>66</v>
      </c>
      <c r="B86" s="3" t="s">
        <v>71</v>
      </c>
      <c r="C86" s="223" t="s">
        <v>517</v>
      </c>
      <c r="D86" s="209">
        <f>Table136[[#This Row],[Overall Intersectorial Final PiN]]</f>
        <v>73685.290181364559</v>
      </c>
      <c r="E86" s="206">
        <f>Table1345[[#This Row],[CCCM_Target]]</f>
        <v>0</v>
      </c>
      <c r="F86" s="52"/>
      <c r="G86" s="52"/>
      <c r="H86" s="74">
        <v>0</v>
      </c>
      <c r="I86" s="52">
        <v>0</v>
      </c>
      <c r="J86" s="52">
        <v>0</v>
      </c>
      <c r="K86" s="74">
        <f>Table1345[[#This Row],[Education Target]]</f>
        <v>0</v>
      </c>
      <c r="L86" s="74">
        <v>0</v>
      </c>
      <c r="M86" s="74">
        <v>0</v>
      </c>
      <c r="N86" s="52">
        <f>Table1345[[#This Row],[FSC Target]]</f>
        <v>25000</v>
      </c>
      <c r="O86" s="52"/>
      <c r="P86" s="52"/>
      <c r="Q86" s="51">
        <v>0</v>
      </c>
      <c r="R86" s="213">
        <v>0</v>
      </c>
      <c r="S86" s="52">
        <v>0</v>
      </c>
      <c r="T86" s="52">
        <f>0.65*Table1345[[#This Row],[Health PiN]]</f>
        <v>37956.495193911105</v>
      </c>
      <c r="U86" s="74">
        <v>17459.987789199109</v>
      </c>
      <c r="V86" s="52">
        <v>20496.507404712</v>
      </c>
      <c r="W86" s="52">
        <f>Table1345[[#This Row],[Nutrition Target]]</f>
        <v>0</v>
      </c>
      <c r="X86" s="52"/>
      <c r="Y86" s="52"/>
      <c r="Z86" s="52"/>
      <c r="AA86" s="52">
        <f>Table1345[[#This Row],[Shelter/NFIs Target]]</f>
        <v>0</v>
      </c>
      <c r="AB86" s="52"/>
      <c r="AC86" s="52"/>
      <c r="AD86" s="52"/>
      <c r="AE86" s="52"/>
      <c r="AF86" s="52"/>
      <c r="AG86" s="66">
        <f>Table1345[[#This Row],[WASH Targets]]</f>
        <v>39513.684740327968</v>
      </c>
      <c r="AH86" s="52">
        <v>18128.878558862471</v>
      </c>
      <c r="AI86" s="52">
        <v>21384.806181465501</v>
      </c>
      <c r="AJ86" s="52"/>
      <c r="AK86" s="52"/>
      <c r="AL86" s="52"/>
      <c r="AM86" s="84"/>
      <c r="AN86"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39513.684740327968</v>
      </c>
      <c r="AQ86" s="66">
        <f>Table13611[[#This Row],[Overall Intersectorial Final Target]]-(Table813[[#This Row],[IDPs]]+Table813[[#This Row],[Returnee Migrants]]+Table813[[#This Row],[Refugees]])</f>
        <v>39513.684740327968</v>
      </c>
      <c r="AR86" s="66">
        <f>Table8[[#This Row],[IDPs]]</f>
        <v>0</v>
      </c>
      <c r="AS86" s="66">
        <f>Table8[[#This Row],[Returnee Migrants]]</f>
        <v>0</v>
      </c>
      <c r="AT86" s="66">
        <f>Table13611[[#This Row],[Refugee Targets]]</f>
        <v>0</v>
      </c>
      <c r="AV86" s="79">
        <f>Table9[[#This Row],[2020 Inter-cluster Response ]]</f>
        <v>0</v>
      </c>
      <c r="AX86" s="79">
        <f>Table13611[[#This Row],[Overall Intersectorial PiN]]-Table13611[[#This Row],[Overall Intersectorial Final Target]]</f>
        <v>34171.60544103659</v>
      </c>
      <c r="AY86" s="4">
        <v>4</v>
      </c>
    </row>
    <row r="87" spans="1:51" x14ac:dyDescent="0.2">
      <c r="A87" s="3" t="s">
        <v>66</v>
      </c>
      <c r="B87" s="3" t="s">
        <v>95</v>
      </c>
      <c r="C87" s="223" t="s">
        <v>518</v>
      </c>
      <c r="D87" s="209">
        <f>Table136[[#This Row],[Overall Intersectorial Final PiN]]</f>
        <v>47774</v>
      </c>
      <c r="E87" s="206">
        <f>Table1345[[#This Row],[CCCM_Target]]</f>
        <v>0</v>
      </c>
      <c r="F87" s="52"/>
      <c r="G87" s="52"/>
      <c r="H87" s="74">
        <v>4638.5098100274336</v>
      </c>
      <c r="I87" s="52">
        <v>1623.4784335096017</v>
      </c>
      <c r="J87" s="52">
        <v>3015.0313765178321</v>
      </c>
      <c r="K87" s="74">
        <f>Table1345[[#This Row],[Education Target]]</f>
        <v>0</v>
      </c>
      <c r="L87" s="74">
        <v>22033.290483717468</v>
      </c>
      <c r="M87" s="74">
        <v>22478.407463186511</v>
      </c>
      <c r="N87" s="52">
        <f>Table1345[[#This Row],[FSC Target]]</f>
        <v>47731.576639999999</v>
      </c>
      <c r="O87" s="52"/>
      <c r="P87" s="52"/>
      <c r="Q87" s="51">
        <v>10699</v>
      </c>
      <c r="R87" s="213">
        <v>1965</v>
      </c>
      <c r="S87" s="52">
        <v>8734</v>
      </c>
      <c r="T87" s="52">
        <f>0.65*Table1345[[#This Row],[Health PiN]]</f>
        <v>18823.609584033729</v>
      </c>
      <c r="U87" s="74">
        <v>8658.8604086555151</v>
      </c>
      <c r="V87" s="52">
        <v>10164.749175378214</v>
      </c>
      <c r="W87" s="52">
        <f>Table1345[[#This Row],[Nutrition Target]]</f>
        <v>0</v>
      </c>
      <c r="X87" s="52"/>
      <c r="Y87" s="52"/>
      <c r="Z87" s="52"/>
      <c r="AA87" s="52">
        <f>Table1345[[#This Row],[Shelter/NFIs Target]]</f>
        <v>0</v>
      </c>
      <c r="AB87" s="52"/>
      <c r="AC87" s="52"/>
      <c r="AD87" s="52"/>
      <c r="AE87" s="52"/>
      <c r="AF87" s="52"/>
      <c r="AG87" s="66">
        <f>Table1345[[#This Row],[WASH Targets]]</f>
        <v>0</v>
      </c>
      <c r="AH87" s="52">
        <v>0</v>
      </c>
      <c r="AI87" s="52">
        <v>0</v>
      </c>
      <c r="AJ87" s="52"/>
      <c r="AK87" s="52"/>
      <c r="AL87" s="52"/>
      <c r="AM87" s="84"/>
      <c r="AN87"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47731.576639999999</v>
      </c>
      <c r="AQ87" s="66">
        <f>Table13611[[#This Row],[Overall Intersectorial Final Target]]-(Table813[[#This Row],[IDPs]]+Table813[[#This Row],[Returnee Migrants]]+Table813[[#This Row],[Refugees]])</f>
        <v>47731.576639999999</v>
      </c>
      <c r="AR87" s="66">
        <f>Table8[[#This Row],[IDPs]]</f>
        <v>0</v>
      </c>
      <c r="AS87" s="66">
        <f>Table8[[#This Row],[Returnee Migrants]]</f>
        <v>0</v>
      </c>
      <c r="AT87" s="66">
        <f>Table13611[[#This Row],[Refugee Targets]]</f>
        <v>0</v>
      </c>
      <c r="AV87" s="79">
        <f>Table9[[#This Row],[2020 Inter-cluster Response ]]</f>
        <v>115828</v>
      </c>
      <c r="AX87" s="79">
        <f>Table13611[[#This Row],[Overall Intersectorial PiN]]-Table13611[[#This Row],[Overall Intersectorial Final Target]]</f>
        <v>42.423360000000685</v>
      </c>
      <c r="AY87" s="4">
        <v>3</v>
      </c>
    </row>
    <row r="88" spans="1:51" x14ac:dyDescent="0.2">
      <c r="A88" s="3" t="s">
        <v>66</v>
      </c>
      <c r="B88" s="3" t="s">
        <v>72</v>
      </c>
      <c r="C88" s="223" t="s">
        <v>517</v>
      </c>
      <c r="D88" s="209">
        <f>Table136[[#This Row],[Overall Intersectorial Final PiN]]</f>
        <v>40127.928647952998</v>
      </c>
      <c r="E88" s="206">
        <f>Table1345[[#This Row],[CCCM_Target]]</f>
        <v>0</v>
      </c>
      <c r="F88" s="52"/>
      <c r="G88" s="52"/>
      <c r="H88" s="74">
        <v>0</v>
      </c>
      <c r="I88" s="52">
        <v>0</v>
      </c>
      <c r="J88" s="52">
        <v>0</v>
      </c>
      <c r="K88" s="74">
        <f>Table1345[[#This Row],[Education Target]]</f>
        <v>0</v>
      </c>
      <c r="L88" s="74">
        <v>0</v>
      </c>
      <c r="M88" s="74">
        <v>0</v>
      </c>
      <c r="N88" s="52">
        <f>Table1345[[#This Row],[FSC Target]]</f>
        <v>39500</v>
      </c>
      <c r="O88" s="52"/>
      <c r="P88" s="52"/>
      <c r="Q88" s="51">
        <v>8171</v>
      </c>
      <c r="R88" s="213">
        <v>1537</v>
      </c>
      <c r="S88" s="52">
        <v>6634</v>
      </c>
      <c r="T88" s="52">
        <f>0.65*Table1345[[#This Row],[Health PiN]]</f>
        <v>10870.112844775012</v>
      </c>
      <c r="U88" s="74">
        <v>5000.2519085965059</v>
      </c>
      <c r="V88" s="52">
        <v>5869.8609361785075</v>
      </c>
      <c r="W88" s="52">
        <f>Table1345[[#This Row],[Nutrition Target]]</f>
        <v>0</v>
      </c>
      <c r="X88" s="52"/>
      <c r="Y88" s="52"/>
      <c r="Z88" s="52"/>
      <c r="AA88" s="52">
        <f>Table1345[[#This Row],[Shelter/NFIs Target]]</f>
        <v>0</v>
      </c>
      <c r="AB88" s="52"/>
      <c r="AC88" s="52"/>
      <c r="AD88" s="52"/>
      <c r="AE88" s="52"/>
      <c r="AF88" s="52"/>
      <c r="AG88" s="66">
        <f>Table1345[[#This Row],[WASH Targets]]</f>
        <v>0</v>
      </c>
      <c r="AH88" s="52">
        <v>0</v>
      </c>
      <c r="AI88" s="52">
        <v>0</v>
      </c>
      <c r="AJ88" s="52"/>
      <c r="AK88" s="52"/>
      <c r="AL88" s="52"/>
      <c r="AM88" s="84"/>
      <c r="AN88"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39500</v>
      </c>
      <c r="AQ88" s="66">
        <f>Table13611[[#This Row],[Overall Intersectorial Final Target]]-(Table813[[#This Row],[IDPs]]+Table813[[#This Row],[Returnee Migrants]]+Table813[[#This Row],[Refugees]])</f>
        <v>39500</v>
      </c>
      <c r="AR88" s="66">
        <f>Table8[[#This Row],[IDPs]]</f>
        <v>0</v>
      </c>
      <c r="AS88" s="66">
        <f>Table8[[#This Row],[Returnee Migrants]]</f>
        <v>0</v>
      </c>
      <c r="AT88" s="66">
        <f>Table13611[[#This Row],[Refugee Targets]]</f>
        <v>0</v>
      </c>
      <c r="AV88" s="79">
        <f>Table9[[#This Row],[2020 Inter-cluster Response ]]</f>
        <v>0</v>
      </c>
      <c r="AX88" s="79">
        <f>Table13611[[#This Row],[Overall Intersectorial PiN]]-Table13611[[#This Row],[Overall Intersectorial Final Target]]</f>
        <v>627.92864795299829</v>
      </c>
      <c r="AY88" s="4">
        <v>3</v>
      </c>
    </row>
    <row r="89" spans="1:51" x14ac:dyDescent="0.2">
      <c r="A89" s="3" t="s">
        <v>66</v>
      </c>
      <c r="B89" s="3" t="s">
        <v>70</v>
      </c>
      <c r="C89" s="223" t="s">
        <v>518</v>
      </c>
      <c r="D89" s="209">
        <f>Table136[[#This Row],[Overall Intersectorial Final PiN]]</f>
        <v>101580</v>
      </c>
      <c r="E89" s="206">
        <f>Table1345[[#This Row],[CCCM_Target]]</f>
        <v>0</v>
      </c>
      <c r="F89" s="52"/>
      <c r="G89" s="52"/>
      <c r="H89" s="74">
        <v>2887.8020988960002</v>
      </c>
      <c r="I89" s="52">
        <v>1010.7307346136</v>
      </c>
      <c r="J89" s="52">
        <v>1877.0713642824003</v>
      </c>
      <c r="K89" s="74">
        <f>Table1345[[#This Row],[Education Target]]</f>
        <v>0</v>
      </c>
      <c r="L89" s="74">
        <v>24684.66</v>
      </c>
      <c r="M89" s="74">
        <v>25183.34</v>
      </c>
      <c r="N89" s="52">
        <f>Table1345[[#This Row],[FSC Target]]</f>
        <v>101580</v>
      </c>
      <c r="O89" s="52"/>
      <c r="P89" s="52"/>
      <c r="Q89" s="51">
        <v>18623</v>
      </c>
      <c r="R89" s="213">
        <v>7966</v>
      </c>
      <c r="S89" s="52">
        <v>10657</v>
      </c>
      <c r="T89" s="52">
        <f>0.65*Table1345[[#This Row],[Health PiN]]</f>
        <v>0</v>
      </c>
      <c r="U89" s="74"/>
      <c r="V89" s="52"/>
      <c r="W89" s="52">
        <f>Table1345[[#This Row],[Nutrition Target]]</f>
        <v>25936.459272869484</v>
      </c>
      <c r="X89" s="52">
        <v>8601.6329502337339</v>
      </c>
      <c r="Y89" s="52">
        <v>9318.4356960865462</v>
      </c>
      <c r="Z89" s="52">
        <v>16032.781253098399</v>
      </c>
      <c r="AA89" s="52">
        <f>Table1345[[#This Row],[Shelter/NFIs Target]]</f>
        <v>0</v>
      </c>
      <c r="AB89" s="52"/>
      <c r="AC89" s="52"/>
      <c r="AD89" s="52"/>
      <c r="AE89" s="52"/>
      <c r="AF89" s="52"/>
      <c r="AG89" s="66">
        <f>Table1345[[#This Row],[WASH Targets]]</f>
        <v>62527.84688708379</v>
      </c>
      <c r="AH89" s="52">
        <v>28687.776151794042</v>
      </c>
      <c r="AI89" s="52">
        <v>33840.070735289752</v>
      </c>
      <c r="AJ89" s="52"/>
      <c r="AK89" s="52"/>
      <c r="AL89" s="52"/>
      <c r="AM89" s="84"/>
      <c r="AN89"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101580</v>
      </c>
      <c r="AQ89" s="66">
        <f>Table13611[[#This Row],[Overall Intersectorial Final Target]]-(Table813[[#This Row],[IDPs]]+Table813[[#This Row],[Returnee Migrants]]+Table813[[#This Row],[Refugees]])</f>
        <v>101580</v>
      </c>
      <c r="AR89" s="66">
        <f>Table8[[#This Row],[IDPs]]</f>
        <v>0</v>
      </c>
      <c r="AS89" s="66">
        <f>Table8[[#This Row],[Returnee Migrants]]</f>
        <v>0</v>
      </c>
      <c r="AT89" s="66">
        <f>Table13611[[#This Row],[Refugee Targets]]</f>
        <v>0</v>
      </c>
      <c r="AV89" s="79">
        <f>Table9[[#This Row],[2020 Inter-cluster Response ]]</f>
        <v>93593</v>
      </c>
      <c r="AX89" s="257">
        <f>Table13611[[#This Row],[Overall Intersectorial PiN]]-Table13611[[#This Row],[Overall Intersectorial Final Target]]</f>
        <v>0</v>
      </c>
      <c r="AY89" s="4">
        <v>3</v>
      </c>
    </row>
    <row r="90" spans="1:51" x14ac:dyDescent="0.2">
      <c r="A90" s="3" t="s">
        <v>66</v>
      </c>
      <c r="B90" s="3" t="s">
        <v>73</v>
      </c>
      <c r="C90" s="223" t="s">
        <v>517</v>
      </c>
      <c r="D90" s="209">
        <f>Table136[[#This Row],[Overall Intersectorial Final PiN]]</f>
        <v>14288.962818556029</v>
      </c>
      <c r="E90" s="206">
        <f>Table1345[[#This Row],[CCCM_Target]]</f>
        <v>0</v>
      </c>
      <c r="F90" s="52"/>
      <c r="G90" s="52"/>
      <c r="H90" s="74">
        <v>0</v>
      </c>
      <c r="I90" s="52">
        <v>0</v>
      </c>
      <c r="J90" s="52">
        <v>0</v>
      </c>
      <c r="K90" s="74">
        <f>Table1345[[#This Row],[Education Target]]</f>
        <v>0</v>
      </c>
      <c r="L90" s="74">
        <v>0</v>
      </c>
      <c r="M90" s="74">
        <v>0</v>
      </c>
      <c r="N90" s="52">
        <f>Table1345[[#This Row],[FSC Target]]</f>
        <v>10000</v>
      </c>
      <c r="O90" s="52"/>
      <c r="P90" s="52"/>
      <c r="Q90" s="51">
        <v>773</v>
      </c>
      <c r="R90" s="213">
        <v>191</v>
      </c>
      <c r="S90" s="52">
        <v>582</v>
      </c>
      <c r="T90" s="52">
        <f>0.65*Table1345[[#This Row],[Health PiN]]</f>
        <v>8638.640077420785</v>
      </c>
      <c r="U90" s="74">
        <v>3973.7744356135613</v>
      </c>
      <c r="V90" s="52">
        <v>4664.8656418072242</v>
      </c>
      <c r="W90" s="52">
        <f>Table1345[[#This Row],[Nutrition Target]]</f>
        <v>0</v>
      </c>
      <c r="X90" s="52"/>
      <c r="Y90" s="52"/>
      <c r="Z90" s="52"/>
      <c r="AA90" s="52">
        <f>Table1345[[#This Row],[Shelter/NFIs Target]]</f>
        <v>0</v>
      </c>
      <c r="AB90" s="52"/>
      <c r="AC90" s="52"/>
      <c r="AD90" s="52"/>
      <c r="AE90" s="52"/>
      <c r="AF90" s="52"/>
      <c r="AG90" s="66">
        <f>Table1345[[#This Row],[WASH Targets]]</f>
        <v>0</v>
      </c>
      <c r="AH90" s="52">
        <v>0</v>
      </c>
      <c r="AI90" s="52">
        <v>0</v>
      </c>
      <c r="AJ90" s="52"/>
      <c r="AK90" s="52"/>
      <c r="AL90" s="52"/>
      <c r="AM90" s="84"/>
      <c r="AN90"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10000</v>
      </c>
      <c r="AQ90" s="66">
        <f>Table13611[[#This Row],[Overall Intersectorial Final Target]]-(Table813[[#This Row],[IDPs]]+Table813[[#This Row],[Returnee Migrants]]+Table813[[#This Row],[Refugees]])</f>
        <v>10000</v>
      </c>
      <c r="AR90" s="66">
        <f>Table8[[#This Row],[IDPs]]</f>
        <v>0</v>
      </c>
      <c r="AS90" s="66">
        <f>Table8[[#This Row],[Returnee Migrants]]</f>
        <v>0</v>
      </c>
      <c r="AT90" s="66">
        <f>Table13611[[#This Row],[Refugee Targets]]</f>
        <v>0</v>
      </c>
      <c r="AV90" s="79">
        <f>Table9[[#This Row],[2020 Inter-cluster Response ]]</f>
        <v>0</v>
      </c>
      <c r="AX90" s="79">
        <f>Table13611[[#This Row],[Overall Intersectorial PiN]]-Table13611[[#This Row],[Overall Intersectorial Final Target]]</f>
        <v>4288.9628185560287</v>
      </c>
      <c r="AY90" s="4">
        <v>3</v>
      </c>
    </row>
    <row r="91" spans="1:51" x14ac:dyDescent="0.2">
      <c r="A91" s="3" t="s">
        <v>66</v>
      </c>
      <c r="B91" s="3" t="s">
        <v>94</v>
      </c>
      <c r="C91" s="223" t="s">
        <v>518</v>
      </c>
      <c r="D91" s="209">
        <f>Table136[[#This Row],[Overall Intersectorial Final PiN]]</f>
        <v>25451</v>
      </c>
      <c r="E91" s="206">
        <f>Table1345[[#This Row],[CCCM_Target]]</f>
        <v>0</v>
      </c>
      <c r="F91" s="52"/>
      <c r="G91" s="52"/>
      <c r="H91" s="74">
        <v>0</v>
      </c>
      <c r="I91" s="52">
        <v>0</v>
      </c>
      <c r="J91" s="52">
        <v>0</v>
      </c>
      <c r="K91" s="74">
        <f>Table1345[[#This Row],[Education Target]]</f>
        <v>0</v>
      </c>
      <c r="L91" s="74">
        <v>0</v>
      </c>
      <c r="M91" s="74">
        <v>0</v>
      </c>
      <c r="N91" s="52">
        <f>Table1345[[#This Row],[FSC Target]]</f>
        <v>24544.283519999997</v>
      </c>
      <c r="O91" s="52"/>
      <c r="P91" s="52"/>
      <c r="Q91" s="51">
        <v>1658</v>
      </c>
      <c r="R91" s="213">
        <v>420</v>
      </c>
      <c r="S91" s="52">
        <v>1238</v>
      </c>
      <c r="T91" s="52">
        <f>0.65*Table1345[[#This Row],[Health PiN]]</f>
        <v>0</v>
      </c>
      <c r="U91" s="74"/>
      <c r="V91" s="52"/>
      <c r="W91" s="52">
        <f>Table1345[[#This Row],[Nutrition Target]]</f>
        <v>0</v>
      </c>
      <c r="X91" s="52"/>
      <c r="Y91" s="52"/>
      <c r="Z91" s="52"/>
      <c r="AA91" s="52">
        <f>Table1345[[#This Row],[Shelter/NFIs Target]]</f>
        <v>0</v>
      </c>
      <c r="AB91" s="52"/>
      <c r="AC91" s="52"/>
      <c r="AD91" s="52"/>
      <c r="AE91" s="52"/>
      <c r="AF91" s="52"/>
      <c r="AG91" s="66">
        <f>Table1345[[#This Row],[WASH Targets]]</f>
        <v>16737.765492052033</v>
      </c>
      <c r="AH91" s="52">
        <v>7679.2868077534722</v>
      </c>
      <c r="AI91" s="52">
        <v>9058.4786842985613</v>
      </c>
      <c r="AJ91" s="52"/>
      <c r="AK91" s="52"/>
      <c r="AL91" s="52"/>
      <c r="AM91" s="84"/>
      <c r="AN91"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24544.283519999997</v>
      </c>
      <c r="AQ91" s="66">
        <f>Table13611[[#This Row],[Overall Intersectorial Final Target]]-(Table813[[#This Row],[IDPs]]+Table813[[#This Row],[Returnee Migrants]]+Table813[[#This Row],[Refugees]])</f>
        <v>24544.283519999997</v>
      </c>
      <c r="AR91" s="66">
        <f>Table8[[#This Row],[IDPs]]</f>
        <v>0</v>
      </c>
      <c r="AS91" s="66">
        <f>Table8[[#This Row],[Returnee Migrants]]</f>
        <v>0</v>
      </c>
      <c r="AT91" s="66">
        <f>Table13611[[#This Row],[Refugee Targets]]</f>
        <v>0</v>
      </c>
      <c r="AV91" s="79">
        <f>Table9[[#This Row],[2020 Inter-cluster Response ]]</f>
        <v>17334</v>
      </c>
      <c r="AX91" s="79">
        <f>Table13611[[#This Row],[Overall Intersectorial PiN]]-Table13611[[#This Row],[Overall Intersectorial Final Target]]</f>
        <v>906.71648000000278</v>
      </c>
      <c r="AY91" s="4">
        <v>3</v>
      </c>
    </row>
    <row r="92" spans="1:51" x14ac:dyDescent="0.2">
      <c r="A92" s="3" t="s">
        <v>66</v>
      </c>
      <c r="B92" s="3" t="s">
        <v>74</v>
      </c>
      <c r="C92" s="223" t="s">
        <v>517</v>
      </c>
      <c r="D92" s="209">
        <f>Table136[[#This Row],[Overall Intersectorial Final PiN]]</f>
        <v>11788.513637995491</v>
      </c>
      <c r="E92" s="206">
        <f>Table1345[[#This Row],[CCCM_Target]]</f>
        <v>0</v>
      </c>
      <c r="F92" s="52"/>
      <c r="G92" s="52"/>
      <c r="H92" s="74">
        <v>0</v>
      </c>
      <c r="I92" s="52">
        <v>0</v>
      </c>
      <c r="J92" s="52">
        <v>0</v>
      </c>
      <c r="K92" s="74">
        <f>Table1345[[#This Row],[Education Target]]</f>
        <v>0</v>
      </c>
      <c r="L92" s="74">
        <v>0</v>
      </c>
      <c r="M92" s="74">
        <v>0</v>
      </c>
      <c r="N92" s="52">
        <f>Table1345[[#This Row],[FSC Target]]</f>
        <v>0</v>
      </c>
      <c r="O92" s="52"/>
      <c r="P92" s="52"/>
      <c r="Q92" s="51">
        <v>0</v>
      </c>
      <c r="R92" s="213">
        <v>0</v>
      </c>
      <c r="S92" s="52">
        <v>0</v>
      </c>
      <c r="T92" s="52">
        <f>0.65*Table1345[[#This Row],[Health PiN]]</f>
        <v>0</v>
      </c>
      <c r="U92" s="74"/>
      <c r="V92" s="52"/>
      <c r="W92" s="52">
        <f>Table1345[[#This Row],[Nutrition Target]]</f>
        <v>0</v>
      </c>
      <c r="X92" s="52"/>
      <c r="Y92" s="52"/>
      <c r="Z92" s="52"/>
      <c r="AA92" s="52">
        <f>Table1345[[#This Row],[Shelter/NFIs Target]]</f>
        <v>0</v>
      </c>
      <c r="AB92" s="52"/>
      <c r="AC92" s="52"/>
      <c r="AD92" s="52"/>
      <c r="AE92" s="52"/>
      <c r="AF92" s="52"/>
      <c r="AG92" s="66">
        <f>Table1345[[#This Row],[WASH Targets]]</f>
        <v>0</v>
      </c>
      <c r="AH92" s="52">
        <v>0</v>
      </c>
      <c r="AI92" s="52">
        <v>0</v>
      </c>
      <c r="AJ92" s="52"/>
      <c r="AK92" s="52"/>
      <c r="AL92" s="52"/>
      <c r="AM92" s="84"/>
      <c r="AN92"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0</v>
      </c>
      <c r="AQ92" s="66">
        <f>Table13611[[#This Row],[Overall Intersectorial Final Target]]-(Table813[[#This Row],[IDPs]]+Table813[[#This Row],[Returnee Migrants]]+Table813[[#This Row],[Refugees]])</f>
        <v>0</v>
      </c>
      <c r="AR92" s="66">
        <f>Table8[[#This Row],[IDPs]]</f>
        <v>0</v>
      </c>
      <c r="AS92" s="66">
        <f>Table8[[#This Row],[Returnee Migrants]]</f>
        <v>0</v>
      </c>
      <c r="AT92" s="66">
        <f>Table13611[[#This Row],[Refugee Targets]]</f>
        <v>0</v>
      </c>
      <c r="AV92" s="79">
        <f>Table9[[#This Row],[2020 Inter-cluster Response ]]</f>
        <v>0</v>
      </c>
      <c r="AX92" s="79">
        <f>Table13611[[#This Row],[Overall Intersectorial PiN]]-Table13611[[#This Row],[Overall Intersectorial Final Target]]</f>
        <v>11788.513637995491</v>
      </c>
      <c r="AY92" s="4">
        <v>3</v>
      </c>
    </row>
    <row r="93" spans="1:51" x14ac:dyDescent="0.2">
      <c r="A93" s="3" t="s">
        <v>66</v>
      </c>
      <c r="B93" s="3" t="s">
        <v>93</v>
      </c>
      <c r="C93" s="223" t="s">
        <v>518</v>
      </c>
      <c r="D93" s="209">
        <f>Table136[[#This Row],[Overall Intersectorial Final PiN]]</f>
        <v>31722</v>
      </c>
      <c r="E93" s="206">
        <f>Table1345[[#This Row],[CCCM_Target]]</f>
        <v>0</v>
      </c>
      <c r="F93" s="52"/>
      <c r="G93" s="52"/>
      <c r="H93" s="74">
        <v>0</v>
      </c>
      <c r="I93" s="52">
        <v>0</v>
      </c>
      <c r="J93" s="52">
        <v>0</v>
      </c>
      <c r="K93" s="74">
        <f>Table1345[[#This Row],[Education Target]]</f>
        <v>0</v>
      </c>
      <c r="L93" s="74">
        <v>0</v>
      </c>
      <c r="M93" s="74">
        <v>0</v>
      </c>
      <c r="N93" s="52">
        <f>Table1345[[#This Row],[FSC Target]]</f>
        <v>8898.8299109999989</v>
      </c>
      <c r="O93" s="52"/>
      <c r="P93" s="52"/>
      <c r="Q93" s="51">
        <v>5633</v>
      </c>
      <c r="R93" s="213">
        <v>2704</v>
      </c>
      <c r="S93" s="52">
        <v>2929</v>
      </c>
      <c r="T93" s="52">
        <f>0.65*Table1345[[#This Row],[Health PiN]]</f>
        <v>7811.9374897241869</v>
      </c>
      <c r="U93" s="74">
        <v>3593.491245273126</v>
      </c>
      <c r="V93" s="52">
        <v>4218.4462444510609</v>
      </c>
      <c r="W93" s="52">
        <f>Table1345[[#This Row],[Nutrition Target]]</f>
        <v>10282.041492432232</v>
      </c>
      <c r="X93" s="52">
        <v>3433.3077679078051</v>
      </c>
      <c r="Y93" s="52">
        <v>3719.4167485667899</v>
      </c>
      <c r="Z93" s="52">
        <v>6258.6339519152716</v>
      </c>
      <c r="AA93" s="52">
        <f>Table1345[[#This Row],[Shelter/NFIs Target]]</f>
        <v>0</v>
      </c>
      <c r="AB93" s="52"/>
      <c r="AC93" s="52"/>
      <c r="AD93" s="52"/>
      <c r="AE93" s="52"/>
      <c r="AF93" s="52"/>
      <c r="AG93" s="66">
        <f>Table1345[[#This Row],[WASH Targets]]</f>
        <v>0</v>
      </c>
      <c r="AH93" s="52">
        <v>0</v>
      </c>
      <c r="AI93" s="52">
        <v>0</v>
      </c>
      <c r="AJ93" s="52"/>
      <c r="AK93" s="52"/>
      <c r="AL93" s="52"/>
      <c r="AM93" s="84"/>
      <c r="AN93" s="89">
        <v>8898.8299109999989</v>
      </c>
      <c r="AQ93" s="66">
        <f>Table13611[[#This Row],[Overall Intersectorial Final Target]]-(Table813[[#This Row],[IDPs]]+Table813[[#This Row],[Returnee Migrants]]+Table813[[#This Row],[Refugees]])</f>
        <v>8898.8299109999989</v>
      </c>
      <c r="AR93" s="66">
        <f>Table8[[#This Row],[IDPs]]</f>
        <v>0</v>
      </c>
      <c r="AS93" s="66">
        <f>Table8[[#This Row],[Returnee Migrants]]</f>
        <v>0</v>
      </c>
      <c r="AT93" s="66">
        <f>Table13611[[#This Row],[Refugee Targets]]</f>
        <v>0</v>
      </c>
      <c r="AV93" s="79">
        <f>Table9[[#This Row],[2020 Inter-cluster Response ]]</f>
        <v>27159</v>
      </c>
      <c r="AX93" s="79">
        <f>Table13611[[#This Row],[Overall Intersectorial PiN]]-Table13611[[#This Row],[Overall Intersectorial Final Target]]</f>
        <v>22823.170088999999</v>
      </c>
      <c r="AY93" s="4">
        <v>3</v>
      </c>
    </row>
    <row r="94" spans="1:51" x14ac:dyDescent="0.2">
      <c r="A94" s="5" t="s">
        <v>66</v>
      </c>
      <c r="B94" s="3" t="s">
        <v>92</v>
      </c>
      <c r="C94" s="223" t="s">
        <v>517</v>
      </c>
      <c r="D94" s="209">
        <f>Table136[[#This Row],[Overall Intersectorial Final PiN]]</f>
        <v>24341.222179709475</v>
      </c>
      <c r="E94" s="206">
        <f>Table1345[[#This Row],[CCCM_Target]]</f>
        <v>0</v>
      </c>
      <c r="F94" s="52"/>
      <c r="G94" s="52"/>
      <c r="H94" s="74">
        <v>0</v>
      </c>
      <c r="I94" s="52">
        <v>0</v>
      </c>
      <c r="J94" s="52">
        <v>0</v>
      </c>
      <c r="K94" s="74">
        <f>Table1345[[#This Row],[Education Target]]</f>
        <v>0</v>
      </c>
      <c r="L94" s="74">
        <v>0</v>
      </c>
      <c r="M94" s="74">
        <v>0</v>
      </c>
      <c r="N94" s="52">
        <f>Table1345[[#This Row],[FSC Target]]</f>
        <v>20000</v>
      </c>
      <c r="O94" s="52"/>
      <c r="P94" s="52"/>
      <c r="Q94" s="51">
        <v>0</v>
      </c>
      <c r="R94" s="213">
        <v>0</v>
      </c>
      <c r="S94" s="52">
        <v>0</v>
      </c>
      <c r="T94" s="52">
        <f>0.65*Table1345[[#This Row],[Health PiN]]</f>
        <v>4872.6977598530602</v>
      </c>
      <c r="U94" s="74">
        <v>2241.440969532408</v>
      </c>
      <c r="V94" s="52">
        <v>2631.2567903206527</v>
      </c>
      <c r="W94" s="52">
        <f>Table1345[[#This Row],[Nutrition Target]]</f>
        <v>6190.3500090839234</v>
      </c>
      <c r="X94" s="52">
        <v>2034.4501651475812</v>
      </c>
      <c r="Y94" s="52">
        <v>2203.9876789098798</v>
      </c>
      <c r="Z94" s="52">
        <v>3903.8243300529252</v>
      </c>
      <c r="AA94" s="52">
        <f>Table1345[[#This Row],[Shelter/NFIs Target]]</f>
        <v>0</v>
      </c>
      <c r="AB94" s="52"/>
      <c r="AC94" s="52"/>
      <c r="AD94" s="52"/>
      <c r="AE94" s="52"/>
      <c r="AF94" s="52"/>
      <c r="AG94" s="66">
        <f>Table1345[[#This Row],[WASH Targets]]</f>
        <v>0</v>
      </c>
      <c r="AH94" s="52">
        <v>0</v>
      </c>
      <c r="AI94" s="52">
        <v>0</v>
      </c>
      <c r="AJ94" s="52"/>
      <c r="AK94" s="52"/>
      <c r="AL94" s="52"/>
      <c r="AM94" s="84"/>
      <c r="AN94" s="89">
        <f>MAX(Table13611[[#This Row],[CCCM Target]],Table13611[[#This Row],[CP Target]],Table13611[[#This Row],[Education Target]],Table13611[[#This Row],[FSC Targets]],Table13611[[#This Row],[GBV Targets]],Table13611[[#This Row],[Health Targets]],Table13611[[#This Row],[Nut. Targets]],Table13611[[#This Row],[NFI/S Targets]],Table13611[[#This Row],[WASH Targets]],Table13611[[#This Row],[Refugee Targets]])</f>
        <v>20000</v>
      </c>
      <c r="AQ94" s="66">
        <f>Table13611[[#This Row],[Overall Intersectorial Final Target]]-(Table813[[#This Row],[IDPs]]+Table813[[#This Row],[Returnee Migrants]]+Table813[[#This Row],[Refugees]])</f>
        <v>20000</v>
      </c>
      <c r="AR94" s="66">
        <f>Table8[[#This Row],[IDPs]]</f>
        <v>0</v>
      </c>
      <c r="AS94" s="66">
        <f>Table8[[#This Row],[Returnee Migrants]]</f>
        <v>0</v>
      </c>
      <c r="AT94" s="66">
        <f>Table13611[[#This Row],[Refugee Targets]]</f>
        <v>0</v>
      </c>
      <c r="AV94" s="79">
        <f>Table9[[#This Row],[2020 Inter-cluster Response ]]</f>
        <v>0</v>
      </c>
      <c r="AX94" s="79">
        <f>Table13611[[#This Row],[Overall Intersectorial PiN]]-Table13611[[#This Row],[Overall Intersectorial Final Target]]</f>
        <v>4341.2221797094753</v>
      </c>
      <c r="AY94" s="4">
        <v>3</v>
      </c>
    </row>
    <row r="95" spans="1:51" x14ac:dyDescent="0.2">
      <c r="A95" s="9"/>
      <c r="B95" s="9"/>
      <c r="C95" s="9"/>
      <c r="D95" s="210">
        <f>SUM(Table13611[Overall Intersectorial PiN])</f>
        <v>6845593.8939955505</v>
      </c>
      <c r="E95" s="207"/>
      <c r="F95" s="60"/>
      <c r="G95" s="60"/>
      <c r="H95" s="60"/>
      <c r="I95" s="60"/>
      <c r="J95" s="60"/>
      <c r="K95" s="60"/>
      <c r="L95" s="60"/>
      <c r="M95" s="60"/>
      <c r="N95" s="60"/>
      <c r="O95" s="60"/>
      <c r="P95" s="60"/>
      <c r="Q95" s="60"/>
      <c r="R95" s="60"/>
      <c r="S95" s="60"/>
      <c r="T95" s="60"/>
      <c r="U95" s="203"/>
      <c r="V95" s="60"/>
      <c r="W95" s="60"/>
      <c r="X95" s="60"/>
      <c r="Y95" s="60"/>
      <c r="Z95" s="60"/>
      <c r="AA95" s="60"/>
      <c r="AB95" s="60"/>
      <c r="AC95" s="221"/>
      <c r="AD95" s="221"/>
      <c r="AE95" s="221"/>
      <c r="AF95" s="221"/>
      <c r="AG95" s="60"/>
      <c r="AH95" s="60"/>
      <c r="AI95" s="60"/>
      <c r="AJ95" s="60"/>
      <c r="AK95" s="60"/>
      <c r="AL95" s="60"/>
      <c r="AM95" s="85"/>
      <c r="AN95" s="90">
        <f>SUM(Table13611[Overall Intersectorial Final Target])</f>
        <v>4464096.6369115636</v>
      </c>
      <c r="AQ95" s="91">
        <f>SUM(AQ3:AQ94)</f>
        <v>4429601.6369115626</v>
      </c>
      <c r="AR95" s="91">
        <f>SUM(AR3:AR94)</f>
        <v>9600</v>
      </c>
      <c r="AS95" s="91">
        <f>SUM(AS3:AS94)</f>
        <v>9490</v>
      </c>
      <c r="AT95" s="91">
        <f>SUM(AT3:AT94)</f>
        <v>15405</v>
      </c>
      <c r="AV95" s="248">
        <f>Table9[[#This Row],[2020 Inter-cluster Response ]]</f>
        <v>3918375</v>
      </c>
    </row>
    <row r="96" spans="1:51" x14ac:dyDescent="0.2">
      <c r="A96" s="4"/>
      <c r="B96" s="4"/>
      <c r="C96" s="4"/>
    </row>
    <row r="97" spans="1:3" x14ac:dyDescent="0.2">
      <c r="A97" s="4"/>
      <c r="B97" s="4"/>
      <c r="C97" s="4"/>
    </row>
    <row r="98" spans="1:3" x14ac:dyDescent="0.2">
      <c r="A98" s="4"/>
      <c r="B98" s="4"/>
      <c r="C98" s="4"/>
    </row>
    <row r="99" spans="1:3" x14ac:dyDescent="0.2">
      <c r="A99" s="4"/>
      <c r="B99" s="4"/>
      <c r="C99" s="4"/>
    </row>
    <row r="100" spans="1:3" x14ac:dyDescent="0.2">
      <c r="A100" s="4"/>
      <c r="B100" s="4"/>
      <c r="C100" s="4"/>
    </row>
    <row r="101" spans="1:3" x14ac:dyDescent="0.2">
      <c r="A101" s="4"/>
      <c r="B101" s="4"/>
      <c r="C101" s="4"/>
    </row>
  </sheetData>
  <autoFilter ref="AX2:AY94" xr:uid="{D7264B88-4E7E-490A-A4DD-E3CB8451CAF6}"/>
  <mergeCells count="11">
    <mergeCell ref="AJ1:AL1"/>
    <mergeCell ref="AQ1:AT1"/>
    <mergeCell ref="T1:V1"/>
    <mergeCell ref="E1:G1"/>
    <mergeCell ref="AG1:AI1"/>
    <mergeCell ref="W1:Z1"/>
    <mergeCell ref="AA1:AF1"/>
    <mergeCell ref="H1:J1"/>
    <mergeCell ref="K1:M1"/>
    <mergeCell ref="N1:P1"/>
    <mergeCell ref="Q1:S1"/>
  </mergeCells>
  <conditionalFormatting sqref="AN4:AN94">
    <cfRule type="cellIs" dxfId="100" priority="149" operator="equal">
      <formula>362592</formula>
    </cfRule>
  </conditionalFormatting>
  <conditionalFormatting sqref="U95">
    <cfRule type="cellIs" dxfId="99" priority="101" operator="greaterThan">
      <formula>400000</formula>
    </cfRule>
  </conditionalFormatting>
  <conditionalFormatting sqref="U95">
    <cfRule type="cellIs" dxfId="98" priority="99" operator="equal">
      <formula>$AN$3</formula>
    </cfRule>
  </conditionalFormatting>
  <conditionalFormatting sqref="C3:C94">
    <cfRule type="cellIs" dxfId="97" priority="97" operator="equal">
      <formula>$AG$66</formula>
    </cfRule>
  </conditionalFormatting>
  <conditionalFormatting sqref="E4:G4 I4:AL4">
    <cfRule type="cellIs" dxfId="96" priority="94" operator="equal">
      <formula>$AN$4</formula>
    </cfRule>
  </conditionalFormatting>
  <conditionalFormatting sqref="E5:G5 I5:AL5">
    <cfRule type="cellIs" dxfId="95" priority="93" operator="equal">
      <formula>$AN$5</formula>
    </cfRule>
  </conditionalFormatting>
  <conditionalFormatting sqref="E6:G6 I6:AL6">
    <cfRule type="cellIs" dxfId="94" priority="92" operator="equal">
      <formula>$AN$6</formula>
    </cfRule>
  </conditionalFormatting>
  <conditionalFormatting sqref="E7:G7 I7:AL7">
    <cfRule type="cellIs" dxfId="93" priority="91" operator="equal">
      <formula>$AN$7</formula>
    </cfRule>
  </conditionalFormatting>
  <conditionalFormatting sqref="E8:G8 I8:AL8">
    <cfRule type="cellIs" dxfId="92" priority="90" operator="equal">
      <formula>$AN$8</formula>
    </cfRule>
  </conditionalFormatting>
  <conditionalFormatting sqref="E9:G9 I9:AL9">
    <cfRule type="cellIs" dxfId="91" priority="89" operator="equal">
      <formula>$AN$9</formula>
    </cfRule>
  </conditionalFormatting>
  <conditionalFormatting sqref="E10:G10 I10:AL10">
    <cfRule type="cellIs" dxfId="90" priority="88" operator="equal">
      <formula>$AN$10</formula>
    </cfRule>
  </conditionalFormatting>
  <conditionalFormatting sqref="E11:G11 I11:AL11">
    <cfRule type="cellIs" dxfId="89" priority="87" operator="equal">
      <formula>$AN$11</formula>
    </cfRule>
  </conditionalFormatting>
  <conditionalFormatting sqref="E12:G12 I12:AL12">
    <cfRule type="cellIs" dxfId="88" priority="86" operator="equal">
      <formula>$AN$12</formula>
    </cfRule>
  </conditionalFormatting>
  <conditionalFormatting sqref="E13:G13 I13:AL13">
    <cfRule type="cellIs" dxfId="87" priority="85" operator="equal">
      <formula>$AN$13</formula>
    </cfRule>
  </conditionalFormatting>
  <conditionalFormatting sqref="E14:G14 I14:AL14">
    <cfRule type="cellIs" dxfId="86" priority="84" operator="equal">
      <formula>$AN$14</formula>
    </cfRule>
  </conditionalFormatting>
  <conditionalFormatting sqref="E15:G15 I15:AL15">
    <cfRule type="cellIs" dxfId="85" priority="83" operator="equal">
      <formula>$AN$15</formula>
    </cfRule>
  </conditionalFormatting>
  <conditionalFormatting sqref="E16:G16 I16:AL16">
    <cfRule type="cellIs" dxfId="84" priority="82" operator="equal">
      <formula>$AN$16</formula>
    </cfRule>
  </conditionalFormatting>
  <conditionalFormatting sqref="E17:G17 I17:M17 O17:AL17">
    <cfRule type="cellIs" dxfId="83" priority="81" operator="equal">
      <formula>$AN$17</formula>
    </cfRule>
  </conditionalFormatting>
  <conditionalFormatting sqref="E18:G18 I18:AL18">
    <cfRule type="cellIs" dxfId="82" priority="80" operator="equal">
      <formula>$AN$18</formula>
    </cfRule>
  </conditionalFormatting>
  <conditionalFormatting sqref="E19:G19 I19:AL19">
    <cfRule type="cellIs" dxfId="81" priority="79" operator="equal">
      <formula>$AN$19</formula>
    </cfRule>
  </conditionalFormatting>
  <conditionalFormatting sqref="E20:G20 I20:AL20">
    <cfRule type="cellIs" dxfId="80" priority="78" operator="equal">
      <formula>$AN$20</formula>
    </cfRule>
  </conditionalFormatting>
  <conditionalFormatting sqref="E21:G21 I21:AL21">
    <cfRule type="cellIs" dxfId="79" priority="77" operator="equal">
      <formula>$AN$21</formula>
    </cfRule>
  </conditionalFormatting>
  <conditionalFormatting sqref="E22:G22 I22:AL22">
    <cfRule type="cellIs" dxfId="78" priority="76" operator="equal">
      <formula>$AN$22</formula>
    </cfRule>
  </conditionalFormatting>
  <conditionalFormatting sqref="E23:G23 I23:AL23">
    <cfRule type="cellIs" dxfId="77" priority="75" operator="equal">
      <formula>$AN$23</formula>
    </cfRule>
  </conditionalFormatting>
  <conditionalFormatting sqref="E24:G24 I24:AL24">
    <cfRule type="cellIs" dxfId="76" priority="74" operator="equal">
      <formula>$AN$24</formula>
    </cfRule>
  </conditionalFormatting>
  <conditionalFormatting sqref="E25:G25 I25:AL25">
    <cfRule type="cellIs" dxfId="75" priority="73" operator="equal">
      <formula>$AN$25</formula>
    </cfRule>
  </conditionalFormatting>
  <conditionalFormatting sqref="E26:G26 I26:AL26">
    <cfRule type="cellIs" dxfId="74" priority="72" operator="equal">
      <formula>$AN$26</formula>
    </cfRule>
  </conditionalFormatting>
  <conditionalFormatting sqref="E27:G27 I27:AL27">
    <cfRule type="cellIs" dxfId="73" priority="71" operator="equal">
      <formula>$AN$27</formula>
    </cfRule>
  </conditionalFormatting>
  <conditionalFormatting sqref="E28:G28 I28:AL28">
    <cfRule type="cellIs" dxfId="72" priority="70" operator="equal">
      <formula>$AN$28</formula>
    </cfRule>
  </conditionalFormatting>
  <conditionalFormatting sqref="E29:G29 I29:AL29">
    <cfRule type="cellIs" dxfId="71" priority="69" operator="equal">
      <formula>$AN$29</formula>
    </cfRule>
  </conditionalFormatting>
  <conditionalFormatting sqref="E30:G30 I30:AL30">
    <cfRule type="cellIs" dxfId="70" priority="68" operator="equal">
      <formula>$AN$30</formula>
    </cfRule>
  </conditionalFormatting>
  <conditionalFormatting sqref="E31:G31 I31:AL31">
    <cfRule type="cellIs" dxfId="69" priority="67" operator="equal">
      <formula>$AN$31</formula>
    </cfRule>
  </conditionalFormatting>
  <conditionalFormatting sqref="E33:G33 I33:AL33">
    <cfRule type="cellIs" dxfId="68" priority="66" operator="equal">
      <formula>$AN$33</formula>
    </cfRule>
  </conditionalFormatting>
  <conditionalFormatting sqref="E34:G34 I34:AL34">
    <cfRule type="cellIs" dxfId="67" priority="65" operator="equal">
      <formula>$AN$34</formula>
    </cfRule>
  </conditionalFormatting>
  <conditionalFormatting sqref="E35:G35 I35:AL35">
    <cfRule type="cellIs" dxfId="66" priority="64" operator="equal">
      <formula>$AN$35</formula>
    </cfRule>
  </conditionalFormatting>
  <conditionalFormatting sqref="E36:G36 I36:AL36">
    <cfRule type="cellIs" dxfId="65" priority="63" operator="equal">
      <formula>$AN$36</formula>
    </cfRule>
  </conditionalFormatting>
  <conditionalFormatting sqref="E37:G37 I37:AL37">
    <cfRule type="cellIs" dxfId="64" priority="62" operator="equal">
      <formula>$AN$37</formula>
    </cfRule>
  </conditionalFormatting>
  <conditionalFormatting sqref="E38:G38 I38:AL38">
    <cfRule type="cellIs" dxfId="63" priority="61" operator="equal">
      <formula>$AN$38</formula>
    </cfRule>
  </conditionalFormatting>
  <conditionalFormatting sqref="E39:G39 I39:AL39">
    <cfRule type="cellIs" dxfId="62" priority="60" operator="equal">
      <formula>$AN$39</formula>
    </cfRule>
  </conditionalFormatting>
  <conditionalFormatting sqref="E40:G40 I40:AL40">
    <cfRule type="cellIs" dxfId="61" priority="59" operator="equal">
      <formula>$AN$40</formula>
    </cfRule>
  </conditionalFormatting>
  <conditionalFormatting sqref="E41:G41 I41:AL41">
    <cfRule type="cellIs" dxfId="60" priority="58" operator="equal">
      <formula>$AN$41</formula>
    </cfRule>
  </conditionalFormatting>
  <conditionalFormatting sqref="E42:G42 I42:AL42">
    <cfRule type="cellIs" dxfId="59" priority="57" operator="equal">
      <formula>$AN$42</formula>
    </cfRule>
  </conditionalFormatting>
  <conditionalFormatting sqref="E43:G43 I43:AL43">
    <cfRule type="cellIs" dxfId="58" priority="56" operator="equal">
      <formula>$AN$43</formula>
    </cfRule>
  </conditionalFormatting>
  <conditionalFormatting sqref="E44:G44 I44:AL44">
    <cfRule type="cellIs" dxfId="57" priority="55" operator="equal">
      <formula>$AN$44</formula>
    </cfRule>
  </conditionalFormatting>
  <conditionalFormatting sqref="E45:G45 I45:AL45">
    <cfRule type="cellIs" dxfId="56" priority="54" operator="equal">
      <formula>$AN$45</formula>
    </cfRule>
  </conditionalFormatting>
  <conditionalFormatting sqref="E46:G46 I46:AL46">
    <cfRule type="cellIs" dxfId="55" priority="53" operator="equal">
      <formula>$AN$46</formula>
    </cfRule>
  </conditionalFormatting>
  <conditionalFormatting sqref="E47:G47 I47:AL47">
    <cfRule type="cellIs" dxfId="54" priority="52" operator="equal">
      <formula>$AN$47</formula>
    </cfRule>
  </conditionalFormatting>
  <conditionalFormatting sqref="E48:G48 I48:AL48">
    <cfRule type="cellIs" dxfId="53" priority="51" operator="equal">
      <formula>$AN$48</formula>
    </cfRule>
  </conditionalFormatting>
  <conditionalFormatting sqref="E49:G49 I49:AL49">
    <cfRule type="cellIs" dxfId="52" priority="50" operator="equal">
      <formula>$AN$49</formula>
    </cfRule>
  </conditionalFormatting>
  <conditionalFormatting sqref="E50:G50 I50:AL50">
    <cfRule type="cellIs" dxfId="51" priority="49" operator="equal">
      <formula>$AN$50</formula>
    </cfRule>
  </conditionalFormatting>
  <conditionalFormatting sqref="E51:G51 I51:AL51">
    <cfRule type="cellIs" dxfId="50" priority="48" operator="equal">
      <formula>$AN$51</formula>
    </cfRule>
  </conditionalFormatting>
  <conditionalFormatting sqref="E52:G52 I52:AL52">
    <cfRule type="cellIs" dxfId="49" priority="47" operator="equal">
      <formula>$AN$52</formula>
    </cfRule>
  </conditionalFormatting>
  <conditionalFormatting sqref="E53:G53 I53:AL53">
    <cfRule type="cellIs" dxfId="48" priority="46" operator="equal">
      <formula>$AN$53</formula>
    </cfRule>
  </conditionalFormatting>
  <conditionalFormatting sqref="E54:G54 I54:AL54">
    <cfRule type="cellIs" dxfId="47" priority="45" operator="equal">
      <formula>$AN$54</formula>
    </cfRule>
  </conditionalFormatting>
  <conditionalFormatting sqref="E55:G55 I55:AL55">
    <cfRule type="cellIs" dxfId="46" priority="44" operator="equal">
      <formula>$AN$55</formula>
    </cfRule>
  </conditionalFormatting>
  <conditionalFormatting sqref="E56:G56 I56:AL56 N57">
    <cfRule type="cellIs" dxfId="45" priority="43" operator="equal">
      <formula>$AN$56</formula>
    </cfRule>
  </conditionalFormatting>
  <conditionalFormatting sqref="E57:G57 I57:M57 O57:AL57">
    <cfRule type="cellIs" dxfId="44" priority="42" operator="equal">
      <formula>$AN$57</formula>
    </cfRule>
  </conditionalFormatting>
  <conditionalFormatting sqref="E58:G58 I58:AL58">
    <cfRule type="cellIs" dxfId="43" priority="41" operator="equal">
      <formula>$AN$58</formula>
    </cfRule>
  </conditionalFormatting>
  <conditionalFormatting sqref="E59:G59 I59:AL59">
    <cfRule type="cellIs" dxfId="42" priority="40" operator="equal">
      <formula>$AN$59</formula>
    </cfRule>
  </conditionalFormatting>
  <conditionalFormatting sqref="E60:G60 I60:AL60">
    <cfRule type="cellIs" dxfId="41" priority="39" operator="equal">
      <formula>$AN$60</formula>
    </cfRule>
  </conditionalFormatting>
  <conditionalFormatting sqref="E61:G61 I61:AL61">
    <cfRule type="cellIs" dxfId="40" priority="38" operator="equal">
      <formula>$AN$61</formula>
    </cfRule>
  </conditionalFormatting>
  <conditionalFormatting sqref="E62:G62 I62:AL62">
    <cfRule type="cellIs" dxfId="39" priority="37" operator="equal">
      <formula>$AN$62</formula>
    </cfRule>
  </conditionalFormatting>
  <conditionalFormatting sqref="E63:G63 I63:AL63">
    <cfRule type="cellIs" dxfId="38" priority="36" operator="equal">
      <formula>$AN$63</formula>
    </cfRule>
  </conditionalFormatting>
  <conditionalFormatting sqref="E64:G64 I64:AL64">
    <cfRule type="cellIs" dxfId="37" priority="35" operator="equal">
      <formula>$AN$64</formula>
    </cfRule>
  </conditionalFormatting>
  <conditionalFormatting sqref="E65:G65 I65:AL65">
    <cfRule type="cellIs" dxfId="36" priority="34" operator="equal">
      <formula>$AN$65</formula>
    </cfRule>
  </conditionalFormatting>
  <conditionalFormatting sqref="E66:G66 I66:AL66">
    <cfRule type="cellIs" dxfId="35" priority="33" operator="equal">
      <formula>$AN$66</formula>
    </cfRule>
  </conditionalFormatting>
  <conditionalFormatting sqref="E67:G67 I67:AL67">
    <cfRule type="cellIs" dxfId="34" priority="32" operator="equal">
      <formula>$AN$67</formula>
    </cfRule>
  </conditionalFormatting>
  <conditionalFormatting sqref="E68:G68 I68:AL68">
    <cfRule type="cellIs" dxfId="33" priority="31" operator="equal">
      <formula>$AN$68</formula>
    </cfRule>
  </conditionalFormatting>
  <conditionalFormatting sqref="E69:G69 I69:AL69">
    <cfRule type="cellIs" dxfId="32" priority="30" operator="equal">
      <formula>$AN$69</formula>
    </cfRule>
  </conditionalFormatting>
  <conditionalFormatting sqref="E70:G70 I70:AL70">
    <cfRule type="cellIs" dxfId="31" priority="29" operator="equal">
      <formula>$AN$70</formula>
    </cfRule>
  </conditionalFormatting>
  <conditionalFormatting sqref="E71:G71 I71:AL71">
    <cfRule type="cellIs" dxfId="30" priority="28" operator="equal">
      <formula>$AN$71</formula>
    </cfRule>
  </conditionalFormatting>
  <conditionalFormatting sqref="E72:G72 I72:AL72">
    <cfRule type="cellIs" dxfId="29" priority="27" operator="equal">
      <formula>$AN$72</formula>
    </cfRule>
  </conditionalFormatting>
  <conditionalFormatting sqref="E73:G73 I73:AL73">
    <cfRule type="cellIs" dxfId="28" priority="26" operator="equal">
      <formula>$AN$73</formula>
    </cfRule>
  </conditionalFormatting>
  <conditionalFormatting sqref="E74:G74 I74:AL74">
    <cfRule type="cellIs" dxfId="27" priority="25" operator="equal">
      <formula>$AN$74</formula>
    </cfRule>
  </conditionalFormatting>
  <conditionalFormatting sqref="E75:G75 I75:AL75">
    <cfRule type="cellIs" dxfId="26" priority="24" operator="equal">
      <formula>$AN$75</formula>
    </cfRule>
  </conditionalFormatting>
  <conditionalFormatting sqref="E76:G76 I76:AL76">
    <cfRule type="cellIs" dxfId="25" priority="23" operator="equal">
      <formula>$AN$76</formula>
    </cfRule>
  </conditionalFormatting>
  <conditionalFormatting sqref="E77:G77 I77:AL77">
    <cfRule type="cellIs" dxfId="24" priority="22" operator="equal">
      <formula>$AN$77</formula>
    </cfRule>
  </conditionalFormatting>
  <conditionalFormatting sqref="E78:G78 I78:AL78">
    <cfRule type="cellIs" dxfId="23" priority="21" operator="equal">
      <formula>$AN$78</formula>
    </cfRule>
  </conditionalFormatting>
  <conditionalFormatting sqref="E79:G79 I79:AL79">
    <cfRule type="cellIs" dxfId="22" priority="20" operator="equal">
      <formula>$AN$79</formula>
    </cfRule>
  </conditionalFormatting>
  <conditionalFormatting sqref="E80:G80 I80:AL80">
    <cfRule type="cellIs" dxfId="21" priority="19" operator="equal">
      <formula>$AN$80</formula>
    </cfRule>
  </conditionalFormatting>
  <conditionalFormatting sqref="E81:G81 I81:AL81">
    <cfRule type="cellIs" dxfId="20" priority="18" operator="equal">
      <formula>$AN$81</formula>
    </cfRule>
  </conditionalFormatting>
  <conditionalFormatting sqref="E82:G82 I82:AL82">
    <cfRule type="cellIs" dxfId="19" priority="17" operator="equal">
      <formula>$AN$82</formula>
    </cfRule>
  </conditionalFormatting>
  <conditionalFormatting sqref="E83:G83 I83:AL83 N84">
    <cfRule type="cellIs" dxfId="18" priority="16" operator="equal">
      <formula>$AN$83</formula>
    </cfRule>
  </conditionalFormatting>
  <conditionalFormatting sqref="E84:G84 I84:M84 O84:AL84">
    <cfRule type="cellIs" dxfId="17" priority="15" operator="equal">
      <formula>$AN$84</formula>
    </cfRule>
  </conditionalFormatting>
  <conditionalFormatting sqref="E85:G85 I85:AL85">
    <cfRule type="cellIs" dxfId="16" priority="14" operator="equal">
      <formula>$AN$85</formula>
    </cfRule>
  </conditionalFormatting>
  <conditionalFormatting sqref="E86:G86 I86:AL86">
    <cfRule type="cellIs" dxfId="15" priority="13" operator="equal">
      <formula>$AN$86</formula>
    </cfRule>
  </conditionalFormatting>
  <conditionalFormatting sqref="E87:G87 I87:AL87">
    <cfRule type="cellIs" dxfId="14" priority="12" operator="equal">
      <formula>$AN$87</formula>
    </cfRule>
  </conditionalFormatting>
  <conditionalFormatting sqref="E88:G88 I88:AL88">
    <cfRule type="cellIs" dxfId="13" priority="11" operator="equal">
      <formula>$AN$88</formula>
    </cfRule>
  </conditionalFormatting>
  <conditionalFormatting sqref="E89:G89 I89:AL89">
    <cfRule type="cellIs" dxfId="12" priority="10" operator="equal">
      <formula>$AN$89</formula>
    </cfRule>
  </conditionalFormatting>
  <conditionalFormatting sqref="E90:G90 I90:AL90">
    <cfRule type="cellIs" dxfId="11" priority="9" operator="equal">
      <formula>$AN$90</formula>
    </cfRule>
  </conditionalFormatting>
  <conditionalFormatting sqref="E91:G91 I91:AL91">
    <cfRule type="cellIs" dxfId="10" priority="8" operator="equal">
      <formula>$AN$91</formula>
    </cfRule>
  </conditionalFormatting>
  <conditionalFormatting sqref="E92:G92 I92:AL92">
    <cfRule type="cellIs" dxfId="9" priority="7" operator="equal">
      <formula>$AN$92</formula>
    </cfRule>
  </conditionalFormatting>
  <conditionalFormatting sqref="E93:G93 I93:AL93">
    <cfRule type="cellIs" dxfId="8" priority="6" operator="equal">
      <formula>$AN$93</formula>
    </cfRule>
  </conditionalFormatting>
  <conditionalFormatting sqref="E94:G94 I94:AL94">
    <cfRule type="cellIs" dxfId="7" priority="5" operator="equal">
      <formula>$AN$94</formula>
    </cfRule>
  </conditionalFormatting>
  <conditionalFormatting sqref="N17">
    <cfRule type="cellIs" dxfId="6" priority="4" operator="equal">
      <formula>$AN$16</formula>
    </cfRule>
  </conditionalFormatting>
  <conditionalFormatting sqref="E17:AL17">
    <cfRule type="cellIs" dxfId="5" priority="3" operator="equal">
      <formula>$AN$17</formula>
    </cfRule>
  </conditionalFormatting>
  <conditionalFormatting sqref="H57:AL57">
    <cfRule type="cellIs" dxfId="4" priority="2" operator="equal">
      <formula>$AN$57</formula>
    </cfRule>
  </conditionalFormatting>
  <conditionalFormatting sqref="E84:AL84">
    <cfRule type="cellIs" dxfId="3" priority="1" operator="equal">
      <formula>$AN$84</formula>
    </cfRule>
  </conditionalFormatting>
  <pageMargins left="0.7" right="0.7" top="0.75" bottom="0.75" header="0.3" footer="0.3"/>
  <pageSetup orientation="portrait" r:id="rId1"/>
  <ignoredErrors>
    <ignoredError sqref="AQ95:AS95 AT95 AS3:AS94 AR3:AR94 AQ3:AQ94" calculatedColumn="1"/>
  </ignoredErrors>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E511738050541429492867A6446820D" ma:contentTypeVersion="12" ma:contentTypeDescription="Create a new document." ma:contentTypeScope="" ma:versionID="67ca6a9b9508385719617ae73cada535">
  <xsd:schema xmlns:xsd="http://www.w3.org/2001/XMLSchema" xmlns:xs="http://www.w3.org/2001/XMLSchema" xmlns:p="http://schemas.microsoft.com/office/2006/metadata/properties" xmlns:ns2="72b83d26-e04b-4e77-8204-dd224be5487e" xmlns:ns3="741e3717-621b-44d1-9f13-cee523b329f7" targetNamespace="http://schemas.microsoft.com/office/2006/metadata/properties" ma:root="true" ma:fieldsID="f33d03b994c9a130e837afe1a8f493ce" ns2:_="" ns3:_="">
    <xsd:import namespace="72b83d26-e04b-4e77-8204-dd224be5487e"/>
    <xsd:import namespace="741e3717-621b-44d1-9f13-cee523b329f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b83d26-e04b-4e77-8204-dd224be548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1e3717-621b-44d1-9f13-cee523b329f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0A85DE-3C42-45E6-8FDF-C6FFA9313066}">
  <ds:schemaRefs>
    <ds:schemaRef ds:uri="http://schemas.microsoft.com/sharepoint/v3/contenttype/forms"/>
  </ds:schemaRefs>
</ds:datastoreItem>
</file>

<file path=customXml/itemProps2.xml><?xml version="1.0" encoding="utf-8"?>
<ds:datastoreItem xmlns:ds="http://schemas.openxmlformats.org/officeDocument/2006/customXml" ds:itemID="{7D55EC54-3F1A-4ECA-BB17-93CB6497E2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b83d26-e04b-4e77-8204-dd224be5487e"/>
    <ds:schemaRef ds:uri="741e3717-621b-44d1-9f13-cee523b329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7CA26A-C2AE-4276-B3A7-9C90879D6D60}">
  <ds:schemaRefs>
    <ds:schemaRef ds:uri="http://www.w3.org/XML/1998/namespace"/>
    <ds:schemaRef ds:uri="http://schemas.microsoft.com/office/2006/documentManagement/types"/>
    <ds:schemaRef ds:uri="72b83d26-e04b-4e77-8204-dd224be5487e"/>
    <ds:schemaRef ds:uri="http://schemas.microsoft.com/office/2006/metadata/properties"/>
    <ds:schemaRef ds:uri="http://purl.org/dc/elements/1.1/"/>
    <ds:schemaRef ds:uri="http://purl.org/dc/dcmitype/"/>
    <ds:schemaRef ds:uri="http://schemas.microsoft.com/office/infopath/2007/PartnerControls"/>
    <ds:schemaRef ds:uri="http://schemas.openxmlformats.org/package/2006/metadata/core-properties"/>
    <ds:schemaRef ds:uri="741e3717-621b-44d1-9f13-cee523b329f7"/>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Joint PiN analysis</vt:lpstr>
      <vt:lpstr>Guidance</vt:lpstr>
      <vt:lpstr>Indicator_Reference_Table</vt:lpstr>
      <vt:lpstr>Severity_Scale_Ref_Table_JIAF</vt:lpstr>
      <vt:lpstr>Baseline_2020 Population Proj</vt:lpstr>
      <vt:lpstr>PiN and Severity Methodology</vt:lpstr>
      <vt:lpstr>Joint Severity analysis</vt:lpstr>
      <vt:lpstr>Finacial Requirement</vt:lpstr>
      <vt:lpstr>Inter-Cluster Targets</vt:lpstr>
      <vt:lpstr>Cluster Severity PiN Targets</vt:lpstr>
      <vt:lpstr>Summary</vt:lpstr>
      <vt:lpstr>Sheet1</vt:lpstr>
      <vt:lpstr>Process</vt:lpstr>
      <vt:lpstr>Dropdown</vt:lpstr>
      <vt:lpstr>Population groups</vt:lpstr>
      <vt:lpstr>Response</vt:lpstr>
      <vt:lpstr>HNO_Analysis</vt:lpstr>
      <vt:lpstr>Breakdown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MARINDI</cp:lastModifiedBy>
  <dcterms:created xsi:type="dcterms:W3CDTF">2020-09-10T09:10:41Z</dcterms:created>
  <dcterms:modified xsi:type="dcterms:W3CDTF">2021-06-10T10:40:05Z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0x0101008E511738050541429492867A6446820D</vt:lpwstr>
  </property>
</Properties>
</file>