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INDI\Desktop\Zimbabwe data Grid\Data\"/>
    </mc:Choice>
  </mc:AlternateContent>
  <xr:revisionPtr revIDLastSave="0" documentId="13_ncr:1_{52DC8630-6858-4CC7-8F42-2934B88CD9C9}" xr6:coauthVersionLast="47" xr6:coauthVersionMax="47" xr10:uidLastSave="{00000000-0000-0000-0000-000000000000}"/>
  <bookViews>
    <workbookView xWindow="-120" yWindow="-120" windowWidth="20730" windowHeight="11160" tabRatio="903" firstSheet="1" activeTab="1" xr2:uid="{350D379B-9E3E-437D-A7FC-1DBA32304459}"/>
  </bookViews>
  <sheets>
    <sheet name="Severity_Scale_Ref_Table_JIAF" sheetId="10" state="hidden" r:id="rId1"/>
    <sheet name="Baseline_2020 Population Proj" sheetId="1" r:id="rId2"/>
    <sheet name="Summary" sheetId="19" state="hidden" r:id="rId3"/>
    <sheet name="Sheet1" sheetId="15" state="hidden" r:id="rId4"/>
    <sheet name="Process" sheetId="11" state="hidden" r:id="rId5"/>
    <sheet name="Dropdown" sheetId="5" state="hidden" r:id="rId6"/>
    <sheet name="Population groups" sheetId="2" state="hidden" r:id="rId7"/>
    <sheet name="Response" sheetId="17" state="hidden" r:id="rId8"/>
  </sheets>
  <definedNames>
    <definedName name="_xlnm._FilterDatabase" localSheetId="1" hidden="1">'Baseline_2020 Population Proj'!$A$1:$S$94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 l="1"/>
  <c r="L2" i="1"/>
  <c r="S2" i="1"/>
  <c r="N43" i="17" l="1"/>
  <c r="N34" i="17"/>
  <c r="N4" i="17"/>
  <c r="N3" i="17"/>
  <c r="N28" i="17"/>
  <c r="M95" i="1" l="1"/>
  <c r="N95" i="1"/>
  <c r="O95" i="1"/>
  <c r="P95" i="1"/>
  <c r="Q95" i="1"/>
  <c r="R95" i="1"/>
  <c r="K18" i="2" l="1"/>
  <c r="J18" i="2"/>
  <c r="I18" i="2"/>
  <c r="K12" i="2"/>
  <c r="J12" i="2"/>
  <c r="I12" i="2"/>
  <c r="C11" i="2"/>
  <c r="B11" i="2"/>
  <c r="A11" i="2"/>
  <c r="K10" i="2"/>
  <c r="J10" i="2"/>
  <c r="I10" i="2"/>
  <c r="S9" i="2"/>
  <c r="R9" i="2"/>
  <c r="Q9" i="2"/>
  <c r="G9" i="2"/>
  <c r="F9" i="2"/>
  <c r="E9" i="2"/>
  <c r="O8" i="2"/>
  <c r="N8" i="2"/>
  <c r="M8" i="2"/>
  <c r="S7" i="2"/>
  <c r="R7" i="2"/>
  <c r="Q7" i="2"/>
  <c r="G7" i="2"/>
  <c r="F7" i="2"/>
  <c r="E7" i="2"/>
  <c r="O6" i="2"/>
  <c r="N6" i="2"/>
  <c r="M6" i="2"/>
  <c r="C5" i="2"/>
  <c r="B5" i="2"/>
  <c r="A5" i="2"/>
  <c r="I13" i="19"/>
  <c r="I12" i="19"/>
  <c r="I11" i="19"/>
  <c r="I10" i="19"/>
  <c r="D10" i="19"/>
  <c r="C10" i="19"/>
  <c r="I9" i="19"/>
  <c r="D9" i="19"/>
  <c r="C9" i="19"/>
  <c r="I8" i="19"/>
  <c r="D8" i="19"/>
  <c r="C8" i="19"/>
  <c r="I7" i="19"/>
  <c r="D7" i="19"/>
  <c r="C7" i="19"/>
  <c r="I6" i="19"/>
  <c r="D6" i="19"/>
  <c r="C6" i="19"/>
  <c r="I5" i="19"/>
  <c r="D5" i="19"/>
  <c r="C5" i="19"/>
  <c r="I4" i="19"/>
  <c r="D4" i="19"/>
  <c r="C4" i="19"/>
  <c r="I3" i="19"/>
  <c r="I14" i="19" s="1"/>
  <c r="D3" i="19"/>
  <c r="C3" i="19"/>
  <c r="D2" i="19"/>
  <c r="C2" i="19"/>
  <c r="S71" i="17"/>
  <c r="R71" i="17"/>
  <c r="Q71" i="17"/>
  <c r="O71" i="17"/>
  <c r="N71" i="17"/>
  <c r="I71" i="17"/>
  <c r="H71" i="17"/>
  <c r="G71" i="17"/>
  <c r="F71" i="17"/>
  <c r="E71" i="17"/>
  <c r="D71" i="17"/>
  <c r="C71" i="17"/>
  <c r="S70" i="17"/>
  <c r="R70" i="17"/>
  <c r="Q70" i="17"/>
  <c r="O70" i="17"/>
  <c r="S69" i="17"/>
  <c r="R69" i="17"/>
  <c r="Q69" i="17"/>
  <c r="N69" i="17"/>
  <c r="S68" i="17"/>
  <c r="R68" i="17"/>
  <c r="Q68" i="17"/>
  <c r="N68" i="17"/>
  <c r="S67" i="17"/>
  <c r="R67" i="17"/>
  <c r="Q67" i="17"/>
  <c r="O67" i="17"/>
  <c r="N67" i="17"/>
  <c r="S66" i="17"/>
  <c r="R66" i="17"/>
  <c r="Q66" i="17"/>
  <c r="O66" i="17"/>
  <c r="N66" i="17"/>
  <c r="S65" i="17"/>
  <c r="R65" i="17"/>
  <c r="Q65" i="17"/>
  <c r="N65" i="17"/>
  <c r="S64" i="17"/>
  <c r="R64" i="17"/>
  <c r="Q64" i="17"/>
  <c r="N64" i="17"/>
  <c r="S63" i="17"/>
  <c r="R63" i="17"/>
  <c r="Q63" i="17"/>
  <c r="N63" i="17"/>
  <c r="S62" i="17"/>
  <c r="R62" i="17"/>
  <c r="Q62" i="17"/>
  <c r="N62" i="17"/>
  <c r="S61" i="17"/>
  <c r="R61" i="17"/>
  <c r="Q61" i="17"/>
  <c r="N61" i="17"/>
  <c r="S60" i="17"/>
  <c r="R60" i="17"/>
  <c r="Q60" i="17"/>
  <c r="N60" i="17"/>
  <c r="S59" i="17"/>
  <c r="R59" i="17"/>
  <c r="Q59" i="17"/>
  <c r="N59" i="17"/>
  <c r="S58" i="17"/>
  <c r="R58" i="17"/>
  <c r="Q58" i="17"/>
  <c r="N58" i="17"/>
  <c r="S57" i="17"/>
  <c r="R57" i="17"/>
  <c r="Q57" i="17"/>
  <c r="N57" i="17"/>
  <c r="S56" i="17"/>
  <c r="R56" i="17"/>
  <c r="Q56" i="17"/>
  <c r="N56" i="17"/>
  <c r="S55" i="17"/>
  <c r="R55" i="17"/>
  <c r="Q55" i="17"/>
  <c r="N55" i="17"/>
  <c r="S54" i="17"/>
  <c r="R54" i="17"/>
  <c r="Q54" i="17"/>
  <c r="N54" i="17"/>
  <c r="S53" i="17"/>
  <c r="R53" i="17"/>
  <c r="Q53" i="17"/>
  <c r="N53" i="17"/>
  <c r="S52" i="17"/>
  <c r="R52" i="17"/>
  <c r="Q52" i="17"/>
  <c r="N52" i="17"/>
  <c r="S51" i="17"/>
  <c r="R51" i="17"/>
  <c r="Q51" i="17"/>
  <c r="O51" i="17"/>
  <c r="N51" i="17"/>
  <c r="S50" i="17"/>
  <c r="R50" i="17"/>
  <c r="Q50" i="17"/>
  <c r="N50" i="17"/>
  <c r="S49" i="17"/>
  <c r="R49" i="17"/>
  <c r="Q49" i="17"/>
  <c r="N49" i="17"/>
  <c r="S48" i="17"/>
  <c r="R48" i="17"/>
  <c r="Q48" i="17"/>
  <c r="N48" i="17"/>
  <c r="S47" i="17"/>
  <c r="R47" i="17"/>
  <c r="Q47" i="17"/>
  <c r="N47" i="17"/>
  <c r="S46" i="17"/>
  <c r="R46" i="17"/>
  <c r="Q46" i="17"/>
  <c r="N46" i="17"/>
  <c r="S45" i="17"/>
  <c r="R45" i="17"/>
  <c r="Q45" i="17"/>
  <c r="N45" i="17"/>
  <c r="S44" i="17"/>
  <c r="R44" i="17"/>
  <c r="Q44" i="17"/>
  <c r="N44" i="17"/>
  <c r="S43" i="17"/>
  <c r="R43" i="17"/>
  <c r="Q43" i="17"/>
  <c r="S42" i="17"/>
  <c r="R42" i="17"/>
  <c r="Q42" i="17"/>
  <c r="N42" i="17"/>
  <c r="S41" i="17"/>
  <c r="R41" i="17"/>
  <c r="Q41" i="17"/>
  <c r="N41" i="17"/>
  <c r="S40" i="17"/>
  <c r="R40" i="17"/>
  <c r="Q40" i="17"/>
  <c r="N40" i="17"/>
  <c r="S39" i="17"/>
  <c r="R39" i="17"/>
  <c r="Q39" i="17"/>
  <c r="N39" i="17"/>
  <c r="S38" i="17"/>
  <c r="R38" i="17"/>
  <c r="Q38" i="17"/>
  <c r="N38" i="17"/>
  <c r="S37" i="17"/>
  <c r="R37" i="17"/>
  <c r="Q37" i="17"/>
  <c r="N37" i="17"/>
  <c r="S36" i="17"/>
  <c r="R36" i="17"/>
  <c r="Q36" i="17"/>
  <c r="N36" i="17"/>
  <c r="S35" i="17"/>
  <c r="R35" i="17"/>
  <c r="Q35" i="17"/>
  <c r="N35" i="17"/>
  <c r="S34" i="17"/>
  <c r="R34" i="17"/>
  <c r="Q34" i="17"/>
  <c r="S33" i="17"/>
  <c r="R33" i="17"/>
  <c r="Q33" i="17"/>
  <c r="N33" i="17"/>
  <c r="S32" i="17"/>
  <c r="R32" i="17"/>
  <c r="Q32" i="17"/>
  <c r="N32" i="17"/>
  <c r="S31" i="17"/>
  <c r="R31" i="17"/>
  <c r="Q31" i="17"/>
  <c r="N31" i="17"/>
  <c r="S30" i="17"/>
  <c r="R30" i="17"/>
  <c r="Q30" i="17"/>
  <c r="N30" i="17"/>
  <c r="S29" i="17"/>
  <c r="R29" i="17"/>
  <c r="Q29" i="17"/>
  <c r="N29" i="17"/>
  <c r="S28" i="17"/>
  <c r="R28" i="17"/>
  <c r="Q28" i="17"/>
  <c r="S27" i="17"/>
  <c r="R27" i="17"/>
  <c r="Q27" i="17"/>
  <c r="N27" i="17"/>
  <c r="S26" i="17"/>
  <c r="R26" i="17"/>
  <c r="Q26" i="17"/>
  <c r="N26" i="17"/>
  <c r="S25" i="17"/>
  <c r="R25" i="17"/>
  <c r="Q25" i="17"/>
  <c r="N25" i="17"/>
  <c r="S24" i="17"/>
  <c r="R24" i="17"/>
  <c r="Q24" i="17"/>
  <c r="N24" i="17"/>
  <c r="S23" i="17"/>
  <c r="R23" i="17"/>
  <c r="Q23" i="17"/>
  <c r="N23" i="17"/>
  <c r="S22" i="17"/>
  <c r="R22" i="17"/>
  <c r="Q22" i="17"/>
  <c r="N22" i="17"/>
  <c r="S21" i="17"/>
  <c r="R21" i="17"/>
  <c r="Q21" i="17"/>
  <c r="N21" i="17"/>
  <c r="S20" i="17"/>
  <c r="R20" i="17"/>
  <c r="Q20" i="17"/>
  <c r="N20" i="17"/>
  <c r="S19" i="17"/>
  <c r="R19" i="17"/>
  <c r="Q19" i="17"/>
  <c r="N19" i="17"/>
  <c r="S18" i="17"/>
  <c r="R18" i="17"/>
  <c r="Q18" i="17"/>
  <c r="N18" i="17"/>
  <c r="S17" i="17"/>
  <c r="R17" i="17"/>
  <c r="Q17" i="17"/>
  <c r="N17" i="17"/>
  <c r="S16" i="17"/>
  <c r="R16" i="17"/>
  <c r="Q16" i="17"/>
  <c r="N16" i="17"/>
  <c r="S15" i="17"/>
  <c r="R15" i="17"/>
  <c r="Q15" i="17"/>
  <c r="N15" i="17"/>
  <c r="S14" i="17"/>
  <c r="R14" i="17"/>
  <c r="Q14" i="17"/>
  <c r="N14" i="17"/>
  <c r="S13" i="17"/>
  <c r="R13" i="17"/>
  <c r="Q13" i="17"/>
  <c r="N13" i="17"/>
  <c r="S12" i="17"/>
  <c r="R12" i="17"/>
  <c r="Q12" i="17"/>
  <c r="N12" i="17"/>
  <c r="S11" i="17"/>
  <c r="R11" i="17"/>
  <c r="Q11" i="17"/>
  <c r="N11" i="17"/>
  <c r="S10" i="17"/>
  <c r="R10" i="17"/>
  <c r="Q10" i="17"/>
  <c r="N10" i="17"/>
  <c r="S9" i="17"/>
  <c r="R9" i="17"/>
  <c r="Q9" i="17"/>
  <c r="N9" i="17"/>
  <c r="S8" i="17"/>
  <c r="R8" i="17"/>
  <c r="Q8" i="17"/>
  <c r="N8" i="17"/>
  <c r="S7" i="17"/>
  <c r="R7" i="17"/>
  <c r="Q7" i="17"/>
  <c r="N7" i="17"/>
  <c r="S6" i="17"/>
  <c r="R6" i="17"/>
  <c r="Q6" i="17"/>
  <c r="N6" i="17"/>
  <c r="S5" i="17"/>
  <c r="R5" i="17"/>
  <c r="Q5" i="17"/>
  <c r="N5" i="17"/>
  <c r="S4" i="17"/>
  <c r="R4" i="17"/>
  <c r="Q4" i="17"/>
  <c r="S3" i="17"/>
  <c r="R3" i="17"/>
  <c r="Q3" i="17"/>
  <c r="S2" i="17"/>
  <c r="R2" i="17"/>
  <c r="Q2" i="17"/>
  <c r="N2" i="17"/>
  <c r="C95" i="1"/>
  <c r="S94" i="1"/>
  <c r="L94" i="1"/>
  <c r="K94" i="1"/>
  <c r="J94" i="1"/>
  <c r="H94" i="1"/>
  <c r="G94" i="1"/>
  <c r="F94" i="1"/>
  <c r="E94" i="1"/>
  <c r="I94" i="1" s="1"/>
  <c r="D94" i="1"/>
  <c r="S93" i="1"/>
  <c r="L93" i="1"/>
  <c r="K93" i="1"/>
  <c r="H93" i="1"/>
  <c r="G93" i="1"/>
  <c r="F93" i="1"/>
  <c r="E93" i="1"/>
  <c r="I93" i="1" s="1"/>
  <c r="D93" i="1"/>
  <c r="J93" i="1" s="1"/>
  <c r="S92" i="1"/>
  <c r="L92" i="1"/>
  <c r="K92" i="1"/>
  <c r="J92" i="1"/>
  <c r="H92" i="1"/>
  <c r="G92" i="1"/>
  <c r="F92" i="1"/>
  <c r="E92" i="1"/>
  <c r="I92" i="1" s="1"/>
  <c r="D92" i="1"/>
  <c r="S91" i="1"/>
  <c r="L91" i="1"/>
  <c r="K91" i="1"/>
  <c r="H91" i="1"/>
  <c r="G91" i="1"/>
  <c r="F91" i="1"/>
  <c r="E91" i="1"/>
  <c r="I91" i="1" s="1"/>
  <c r="D91" i="1"/>
  <c r="J91" i="1" s="1"/>
  <c r="S90" i="1"/>
  <c r="L90" i="1"/>
  <c r="K90" i="1"/>
  <c r="J90" i="1"/>
  <c r="H90" i="1"/>
  <c r="G90" i="1"/>
  <c r="F90" i="1"/>
  <c r="E90" i="1"/>
  <c r="I90" i="1" s="1"/>
  <c r="D90" i="1"/>
  <c r="S89" i="1"/>
  <c r="L89" i="1"/>
  <c r="K89" i="1"/>
  <c r="H89" i="1"/>
  <c r="G89" i="1"/>
  <c r="F89" i="1"/>
  <c r="E89" i="1"/>
  <c r="I89" i="1" s="1"/>
  <c r="D89" i="1"/>
  <c r="J89" i="1" s="1"/>
  <c r="S88" i="1"/>
  <c r="L88" i="1"/>
  <c r="K88" i="1"/>
  <c r="J88" i="1"/>
  <c r="H88" i="1"/>
  <c r="G88" i="1"/>
  <c r="F88" i="1"/>
  <c r="E88" i="1"/>
  <c r="I88" i="1" s="1"/>
  <c r="D88" i="1"/>
  <c r="S87" i="1"/>
  <c r="L87" i="1"/>
  <c r="K87" i="1"/>
  <c r="H87" i="1"/>
  <c r="G87" i="1"/>
  <c r="F87" i="1"/>
  <c r="E87" i="1"/>
  <c r="I87" i="1" s="1"/>
  <c r="D87" i="1"/>
  <c r="J87" i="1" s="1"/>
  <c r="S86" i="1"/>
  <c r="L86" i="1"/>
  <c r="K86" i="1"/>
  <c r="J86" i="1"/>
  <c r="H86" i="1"/>
  <c r="G86" i="1"/>
  <c r="F86" i="1"/>
  <c r="E86" i="1"/>
  <c r="I86" i="1" s="1"/>
  <c r="D86" i="1"/>
  <c r="S85" i="1"/>
  <c r="L85" i="1"/>
  <c r="K85" i="1"/>
  <c r="H85" i="1"/>
  <c r="G85" i="1"/>
  <c r="F85" i="1"/>
  <c r="E85" i="1"/>
  <c r="I85" i="1" s="1"/>
  <c r="D85" i="1"/>
  <c r="J85" i="1" s="1"/>
  <c r="S84" i="1"/>
  <c r="L84" i="1"/>
  <c r="K84" i="1"/>
  <c r="J84" i="1"/>
  <c r="H84" i="1"/>
  <c r="G84" i="1"/>
  <c r="F84" i="1"/>
  <c r="E84" i="1"/>
  <c r="I84" i="1" s="1"/>
  <c r="D84" i="1"/>
  <c r="S83" i="1"/>
  <c r="L83" i="1"/>
  <c r="K83" i="1"/>
  <c r="H83" i="1"/>
  <c r="G83" i="1"/>
  <c r="F83" i="1"/>
  <c r="E83" i="1"/>
  <c r="I83" i="1" s="1"/>
  <c r="D83" i="1"/>
  <c r="J83" i="1" s="1"/>
  <c r="S82" i="1"/>
  <c r="L82" i="1"/>
  <c r="K82" i="1"/>
  <c r="J82" i="1"/>
  <c r="H82" i="1"/>
  <c r="G82" i="1"/>
  <c r="F82" i="1"/>
  <c r="E82" i="1"/>
  <c r="I82" i="1" s="1"/>
  <c r="D82" i="1"/>
  <c r="S81" i="1"/>
  <c r="L81" i="1"/>
  <c r="K81" i="1"/>
  <c r="H81" i="1"/>
  <c r="G81" i="1"/>
  <c r="F81" i="1"/>
  <c r="E81" i="1"/>
  <c r="I81" i="1" s="1"/>
  <c r="D81" i="1"/>
  <c r="J81" i="1" s="1"/>
  <c r="S80" i="1"/>
  <c r="L80" i="1"/>
  <c r="K80" i="1"/>
  <c r="J80" i="1"/>
  <c r="H80" i="1"/>
  <c r="G80" i="1"/>
  <c r="F80" i="1"/>
  <c r="E80" i="1"/>
  <c r="I80" i="1" s="1"/>
  <c r="D80" i="1"/>
  <c r="S79" i="1"/>
  <c r="L79" i="1"/>
  <c r="K79" i="1"/>
  <c r="H79" i="1"/>
  <c r="G79" i="1"/>
  <c r="F79" i="1"/>
  <c r="E79" i="1"/>
  <c r="I79" i="1" s="1"/>
  <c r="D79" i="1"/>
  <c r="J79" i="1" s="1"/>
  <c r="S78" i="1"/>
  <c r="L78" i="1"/>
  <c r="K78" i="1"/>
  <c r="J78" i="1"/>
  <c r="H78" i="1"/>
  <c r="G78" i="1"/>
  <c r="F78" i="1"/>
  <c r="E78" i="1"/>
  <c r="I78" i="1" s="1"/>
  <c r="D78" i="1"/>
  <c r="S77" i="1"/>
  <c r="L77" i="1"/>
  <c r="K77" i="1"/>
  <c r="H77" i="1"/>
  <c r="G77" i="1"/>
  <c r="F77" i="1"/>
  <c r="E77" i="1"/>
  <c r="I77" i="1" s="1"/>
  <c r="D77" i="1"/>
  <c r="J77" i="1" s="1"/>
  <c r="S76" i="1"/>
  <c r="L76" i="1"/>
  <c r="K76" i="1"/>
  <c r="J76" i="1"/>
  <c r="I76" i="1"/>
  <c r="H76" i="1"/>
  <c r="G76" i="1"/>
  <c r="F76" i="1"/>
  <c r="E76" i="1"/>
  <c r="D76" i="1"/>
  <c r="S75" i="1"/>
  <c r="L75" i="1"/>
  <c r="K75" i="1"/>
  <c r="H75" i="1"/>
  <c r="G75" i="1"/>
  <c r="F75" i="1"/>
  <c r="E75" i="1"/>
  <c r="I75" i="1" s="1"/>
  <c r="D75" i="1"/>
  <c r="J75" i="1" s="1"/>
  <c r="S74" i="1"/>
  <c r="L74" i="1"/>
  <c r="K74" i="1"/>
  <c r="J74" i="1"/>
  <c r="H74" i="1"/>
  <c r="G74" i="1"/>
  <c r="F74" i="1"/>
  <c r="E74" i="1"/>
  <c r="I74" i="1" s="1"/>
  <c r="D74" i="1"/>
  <c r="S73" i="1"/>
  <c r="L73" i="1"/>
  <c r="K73" i="1"/>
  <c r="H73" i="1"/>
  <c r="G73" i="1"/>
  <c r="F73" i="1"/>
  <c r="E73" i="1"/>
  <c r="I73" i="1" s="1"/>
  <c r="D73" i="1"/>
  <c r="J73" i="1" s="1"/>
  <c r="S72" i="1"/>
  <c r="L72" i="1"/>
  <c r="K72" i="1"/>
  <c r="J72" i="1"/>
  <c r="H72" i="1"/>
  <c r="G72" i="1"/>
  <c r="F72" i="1"/>
  <c r="E72" i="1"/>
  <c r="I72" i="1" s="1"/>
  <c r="D72" i="1"/>
  <c r="S71" i="1"/>
  <c r="L71" i="1"/>
  <c r="K71" i="1"/>
  <c r="H71" i="1"/>
  <c r="G71" i="1"/>
  <c r="F71" i="1"/>
  <c r="E71" i="1"/>
  <c r="I71" i="1" s="1"/>
  <c r="D71" i="1"/>
  <c r="J71" i="1" s="1"/>
  <c r="S70" i="1"/>
  <c r="L70" i="1"/>
  <c r="K70" i="1"/>
  <c r="J70" i="1"/>
  <c r="H70" i="1"/>
  <c r="G70" i="1"/>
  <c r="F70" i="1"/>
  <c r="E70" i="1"/>
  <c r="I70" i="1" s="1"/>
  <c r="D70" i="1"/>
  <c r="S69" i="1"/>
  <c r="L69" i="1"/>
  <c r="K69" i="1"/>
  <c r="H69" i="1"/>
  <c r="G69" i="1"/>
  <c r="F69" i="1"/>
  <c r="E69" i="1"/>
  <c r="I69" i="1" s="1"/>
  <c r="D69" i="1"/>
  <c r="J69" i="1" s="1"/>
  <c r="S68" i="1"/>
  <c r="L68" i="1"/>
  <c r="K68" i="1"/>
  <c r="J68" i="1"/>
  <c r="H68" i="1"/>
  <c r="G68" i="1"/>
  <c r="F68" i="1"/>
  <c r="E68" i="1"/>
  <c r="I68" i="1" s="1"/>
  <c r="D68" i="1"/>
  <c r="S67" i="1"/>
  <c r="L67" i="1"/>
  <c r="K67" i="1"/>
  <c r="H67" i="1"/>
  <c r="G67" i="1"/>
  <c r="F67" i="1"/>
  <c r="E67" i="1"/>
  <c r="I67" i="1" s="1"/>
  <c r="D67" i="1"/>
  <c r="J67" i="1" s="1"/>
  <c r="S66" i="1"/>
  <c r="L66" i="1"/>
  <c r="K66" i="1"/>
  <c r="J66" i="1"/>
  <c r="H66" i="1"/>
  <c r="G66" i="1"/>
  <c r="F66" i="1"/>
  <c r="E66" i="1"/>
  <c r="I66" i="1" s="1"/>
  <c r="D66" i="1"/>
  <c r="S65" i="1"/>
  <c r="L65" i="1"/>
  <c r="K65" i="1"/>
  <c r="H65" i="1"/>
  <c r="G65" i="1"/>
  <c r="F65" i="1"/>
  <c r="E65" i="1"/>
  <c r="I65" i="1" s="1"/>
  <c r="D65" i="1"/>
  <c r="J65" i="1" s="1"/>
  <c r="S64" i="1"/>
  <c r="L64" i="1"/>
  <c r="K64" i="1"/>
  <c r="J64" i="1"/>
  <c r="H64" i="1"/>
  <c r="G64" i="1"/>
  <c r="F64" i="1"/>
  <c r="E64" i="1"/>
  <c r="I64" i="1" s="1"/>
  <c r="D64" i="1"/>
  <c r="S63" i="1"/>
  <c r="L63" i="1"/>
  <c r="K63" i="1"/>
  <c r="H63" i="1"/>
  <c r="G63" i="1"/>
  <c r="F63" i="1"/>
  <c r="E63" i="1"/>
  <c r="I63" i="1" s="1"/>
  <c r="D63" i="1"/>
  <c r="J63" i="1" s="1"/>
  <c r="S62" i="1"/>
  <c r="L62" i="1"/>
  <c r="K62" i="1"/>
  <c r="J62" i="1"/>
  <c r="H62" i="1"/>
  <c r="G62" i="1"/>
  <c r="F62" i="1"/>
  <c r="E62" i="1"/>
  <c r="I62" i="1" s="1"/>
  <c r="D62" i="1"/>
  <c r="S61" i="1"/>
  <c r="L61" i="1"/>
  <c r="K61" i="1"/>
  <c r="H61" i="1"/>
  <c r="G61" i="1"/>
  <c r="F61" i="1"/>
  <c r="E61" i="1"/>
  <c r="I61" i="1" s="1"/>
  <c r="D61" i="1"/>
  <c r="J61" i="1" s="1"/>
  <c r="S60" i="1"/>
  <c r="L60" i="1"/>
  <c r="K60" i="1"/>
  <c r="J60" i="1"/>
  <c r="H60" i="1"/>
  <c r="G60" i="1"/>
  <c r="F60" i="1"/>
  <c r="E60" i="1"/>
  <c r="I60" i="1" s="1"/>
  <c r="D60" i="1"/>
  <c r="S59" i="1"/>
  <c r="L59" i="1"/>
  <c r="K59" i="1"/>
  <c r="H59" i="1"/>
  <c r="G59" i="1"/>
  <c r="F59" i="1"/>
  <c r="E59" i="1"/>
  <c r="I59" i="1" s="1"/>
  <c r="D59" i="1"/>
  <c r="J59" i="1" s="1"/>
  <c r="S58" i="1"/>
  <c r="L58" i="1"/>
  <c r="K58" i="1"/>
  <c r="J58" i="1"/>
  <c r="H58" i="1"/>
  <c r="G58" i="1"/>
  <c r="F58" i="1"/>
  <c r="E58" i="1"/>
  <c r="I58" i="1" s="1"/>
  <c r="D58" i="1"/>
  <c r="S57" i="1"/>
  <c r="L57" i="1"/>
  <c r="K57" i="1"/>
  <c r="H57" i="1"/>
  <c r="G57" i="1"/>
  <c r="F57" i="1"/>
  <c r="E57" i="1"/>
  <c r="I57" i="1" s="1"/>
  <c r="D57" i="1"/>
  <c r="J57" i="1" s="1"/>
  <c r="S56" i="1"/>
  <c r="L56" i="1"/>
  <c r="K56" i="1"/>
  <c r="J56" i="1"/>
  <c r="H56" i="1"/>
  <c r="G56" i="1"/>
  <c r="F56" i="1"/>
  <c r="E56" i="1"/>
  <c r="I56" i="1" s="1"/>
  <c r="D56" i="1"/>
  <c r="S55" i="1"/>
  <c r="L55" i="1"/>
  <c r="K55" i="1"/>
  <c r="H55" i="1"/>
  <c r="G55" i="1"/>
  <c r="F55" i="1"/>
  <c r="E55" i="1"/>
  <c r="I55" i="1" s="1"/>
  <c r="D55" i="1"/>
  <c r="J55" i="1" s="1"/>
  <c r="S54" i="1"/>
  <c r="L54" i="1"/>
  <c r="K54" i="1"/>
  <c r="J54" i="1"/>
  <c r="H54" i="1"/>
  <c r="G54" i="1"/>
  <c r="F54" i="1"/>
  <c r="E54" i="1"/>
  <c r="I54" i="1" s="1"/>
  <c r="D54" i="1"/>
  <c r="S53" i="1"/>
  <c r="L53" i="1"/>
  <c r="K53" i="1"/>
  <c r="H53" i="1"/>
  <c r="G53" i="1"/>
  <c r="F53" i="1"/>
  <c r="E53" i="1"/>
  <c r="I53" i="1" s="1"/>
  <c r="D53" i="1"/>
  <c r="J53" i="1" s="1"/>
  <c r="S52" i="1"/>
  <c r="L52" i="1"/>
  <c r="K52" i="1"/>
  <c r="J52" i="1"/>
  <c r="H52" i="1"/>
  <c r="G52" i="1"/>
  <c r="F52" i="1"/>
  <c r="E52" i="1"/>
  <c r="I52" i="1" s="1"/>
  <c r="D52" i="1"/>
  <c r="S51" i="1"/>
  <c r="L51" i="1"/>
  <c r="K51" i="1"/>
  <c r="H51" i="1"/>
  <c r="G51" i="1"/>
  <c r="F51" i="1"/>
  <c r="E51" i="1"/>
  <c r="I51" i="1" s="1"/>
  <c r="D51" i="1"/>
  <c r="J51" i="1" s="1"/>
  <c r="S50" i="1"/>
  <c r="L50" i="1"/>
  <c r="K50" i="1"/>
  <c r="J50" i="1"/>
  <c r="H50" i="1"/>
  <c r="G50" i="1"/>
  <c r="F50" i="1"/>
  <c r="E50" i="1"/>
  <c r="I50" i="1" s="1"/>
  <c r="D50" i="1"/>
  <c r="S49" i="1"/>
  <c r="L49" i="1"/>
  <c r="K49" i="1"/>
  <c r="H49" i="1"/>
  <c r="G49" i="1"/>
  <c r="F49" i="1"/>
  <c r="E49" i="1"/>
  <c r="I49" i="1" s="1"/>
  <c r="D49" i="1"/>
  <c r="J49" i="1" s="1"/>
  <c r="S48" i="1"/>
  <c r="L48" i="1"/>
  <c r="K48" i="1"/>
  <c r="J48" i="1"/>
  <c r="H48" i="1"/>
  <c r="G48" i="1"/>
  <c r="F48" i="1"/>
  <c r="E48" i="1"/>
  <c r="I48" i="1" s="1"/>
  <c r="D48" i="1"/>
  <c r="S47" i="1"/>
  <c r="L47" i="1"/>
  <c r="K47" i="1"/>
  <c r="I47" i="1"/>
  <c r="H47" i="1"/>
  <c r="G47" i="1"/>
  <c r="F47" i="1"/>
  <c r="E47" i="1"/>
  <c r="D47" i="1"/>
  <c r="J47" i="1" s="1"/>
  <c r="S46" i="1"/>
  <c r="L46" i="1"/>
  <c r="K46" i="1"/>
  <c r="J46" i="1"/>
  <c r="H46" i="1"/>
  <c r="G46" i="1"/>
  <c r="F46" i="1"/>
  <c r="E46" i="1"/>
  <c r="I46" i="1" s="1"/>
  <c r="D46" i="1"/>
  <c r="S45" i="1"/>
  <c r="L45" i="1"/>
  <c r="K45" i="1"/>
  <c r="H45" i="1"/>
  <c r="G45" i="1"/>
  <c r="F45" i="1"/>
  <c r="E45" i="1"/>
  <c r="I45" i="1" s="1"/>
  <c r="D45" i="1"/>
  <c r="J45" i="1" s="1"/>
  <c r="S44" i="1"/>
  <c r="L44" i="1"/>
  <c r="K44" i="1"/>
  <c r="J44" i="1"/>
  <c r="H44" i="1"/>
  <c r="G44" i="1"/>
  <c r="F44" i="1"/>
  <c r="E44" i="1"/>
  <c r="I44" i="1" s="1"/>
  <c r="D44" i="1"/>
  <c r="S43" i="1"/>
  <c r="L43" i="1"/>
  <c r="K43" i="1"/>
  <c r="H43" i="1"/>
  <c r="G43" i="1"/>
  <c r="F43" i="1"/>
  <c r="E43" i="1"/>
  <c r="I43" i="1" s="1"/>
  <c r="D43" i="1"/>
  <c r="J43" i="1" s="1"/>
  <c r="S42" i="1"/>
  <c r="L42" i="1"/>
  <c r="K42" i="1"/>
  <c r="J42" i="1"/>
  <c r="H42" i="1"/>
  <c r="G42" i="1"/>
  <c r="F42" i="1"/>
  <c r="E42" i="1"/>
  <c r="I42" i="1" s="1"/>
  <c r="D42" i="1"/>
  <c r="S41" i="1"/>
  <c r="L41" i="1"/>
  <c r="K41" i="1"/>
  <c r="H41" i="1"/>
  <c r="G41" i="1"/>
  <c r="F41" i="1"/>
  <c r="E41" i="1"/>
  <c r="I41" i="1" s="1"/>
  <c r="D41" i="1"/>
  <c r="J41" i="1" s="1"/>
  <c r="S40" i="1"/>
  <c r="L40" i="1"/>
  <c r="K40" i="1"/>
  <c r="J40" i="1"/>
  <c r="H40" i="1"/>
  <c r="G40" i="1"/>
  <c r="F40" i="1"/>
  <c r="E40" i="1"/>
  <c r="I40" i="1" s="1"/>
  <c r="D40" i="1"/>
  <c r="S39" i="1"/>
  <c r="L39" i="1"/>
  <c r="K39" i="1"/>
  <c r="I39" i="1"/>
  <c r="H39" i="1"/>
  <c r="G39" i="1"/>
  <c r="F39" i="1"/>
  <c r="E39" i="1"/>
  <c r="D39" i="1"/>
  <c r="J39" i="1" s="1"/>
  <c r="S38" i="1"/>
  <c r="L38" i="1"/>
  <c r="K38" i="1"/>
  <c r="J38" i="1"/>
  <c r="H38" i="1"/>
  <c r="G38" i="1"/>
  <c r="F38" i="1"/>
  <c r="E38" i="1"/>
  <c r="I38" i="1" s="1"/>
  <c r="D38" i="1"/>
  <c r="S37" i="1"/>
  <c r="L37" i="1"/>
  <c r="K37" i="1"/>
  <c r="H37" i="1"/>
  <c r="G37" i="1"/>
  <c r="F37" i="1"/>
  <c r="E37" i="1"/>
  <c r="I37" i="1" s="1"/>
  <c r="D37" i="1"/>
  <c r="J37" i="1" s="1"/>
  <c r="S36" i="1"/>
  <c r="L36" i="1"/>
  <c r="K36" i="1"/>
  <c r="J36" i="1"/>
  <c r="H36" i="1"/>
  <c r="G36" i="1"/>
  <c r="F36" i="1"/>
  <c r="E36" i="1"/>
  <c r="I36" i="1" s="1"/>
  <c r="D36" i="1"/>
  <c r="S35" i="1"/>
  <c r="L35" i="1"/>
  <c r="K35" i="1"/>
  <c r="H35" i="1"/>
  <c r="G35" i="1"/>
  <c r="F35" i="1"/>
  <c r="E35" i="1"/>
  <c r="I35" i="1" s="1"/>
  <c r="D35" i="1"/>
  <c r="J35" i="1" s="1"/>
  <c r="S34" i="1"/>
  <c r="L34" i="1"/>
  <c r="K34" i="1"/>
  <c r="J34" i="1"/>
  <c r="H34" i="1"/>
  <c r="G34" i="1"/>
  <c r="F34" i="1"/>
  <c r="E34" i="1"/>
  <c r="I34" i="1" s="1"/>
  <c r="D34" i="1"/>
  <c r="S33" i="1"/>
  <c r="L33" i="1"/>
  <c r="K33" i="1"/>
  <c r="H33" i="1"/>
  <c r="G33" i="1"/>
  <c r="F33" i="1"/>
  <c r="E33" i="1"/>
  <c r="I33" i="1" s="1"/>
  <c r="D33" i="1"/>
  <c r="J33" i="1" s="1"/>
  <c r="S32" i="1"/>
  <c r="L32" i="1"/>
  <c r="K32" i="1"/>
  <c r="J32" i="1"/>
  <c r="H32" i="1"/>
  <c r="G32" i="1"/>
  <c r="F32" i="1"/>
  <c r="E32" i="1"/>
  <c r="I32" i="1" s="1"/>
  <c r="D32" i="1"/>
  <c r="S31" i="1"/>
  <c r="L31" i="1"/>
  <c r="K31" i="1"/>
  <c r="I31" i="1"/>
  <c r="H31" i="1"/>
  <c r="G31" i="1"/>
  <c r="F31" i="1"/>
  <c r="E31" i="1"/>
  <c r="D31" i="1"/>
  <c r="J31" i="1" s="1"/>
  <c r="S30" i="1"/>
  <c r="L30" i="1"/>
  <c r="K30" i="1"/>
  <c r="J30" i="1"/>
  <c r="H30" i="1"/>
  <c r="G30" i="1"/>
  <c r="F30" i="1"/>
  <c r="E30" i="1"/>
  <c r="I30" i="1" s="1"/>
  <c r="D30" i="1"/>
  <c r="S29" i="1"/>
  <c r="L29" i="1"/>
  <c r="K29" i="1"/>
  <c r="H29" i="1"/>
  <c r="G29" i="1"/>
  <c r="F29" i="1"/>
  <c r="E29" i="1"/>
  <c r="I29" i="1" s="1"/>
  <c r="D29" i="1"/>
  <c r="J29" i="1" s="1"/>
  <c r="S28" i="1"/>
  <c r="L28" i="1"/>
  <c r="K28" i="1"/>
  <c r="J28" i="1"/>
  <c r="H28" i="1"/>
  <c r="G28" i="1"/>
  <c r="F28" i="1"/>
  <c r="E28" i="1"/>
  <c r="I28" i="1" s="1"/>
  <c r="D28" i="1"/>
  <c r="S27" i="1"/>
  <c r="L27" i="1"/>
  <c r="K27" i="1"/>
  <c r="H27" i="1"/>
  <c r="G27" i="1"/>
  <c r="F27" i="1"/>
  <c r="E27" i="1"/>
  <c r="I27" i="1" s="1"/>
  <c r="D27" i="1"/>
  <c r="J27" i="1" s="1"/>
  <c r="S26" i="1"/>
  <c r="L26" i="1"/>
  <c r="K26" i="1"/>
  <c r="J26" i="1"/>
  <c r="H26" i="1"/>
  <c r="G26" i="1"/>
  <c r="F26" i="1"/>
  <c r="E26" i="1"/>
  <c r="I26" i="1" s="1"/>
  <c r="D26" i="1"/>
  <c r="S25" i="1"/>
  <c r="L25" i="1"/>
  <c r="K25" i="1"/>
  <c r="H25" i="1"/>
  <c r="G25" i="1"/>
  <c r="F25" i="1"/>
  <c r="E25" i="1"/>
  <c r="I25" i="1" s="1"/>
  <c r="D25" i="1"/>
  <c r="J25" i="1" s="1"/>
  <c r="S24" i="1"/>
  <c r="L24" i="1"/>
  <c r="K24" i="1"/>
  <c r="J24" i="1"/>
  <c r="I24" i="1"/>
  <c r="H24" i="1"/>
  <c r="G24" i="1"/>
  <c r="F24" i="1"/>
  <c r="E24" i="1"/>
  <c r="D24" i="1"/>
  <c r="S23" i="1"/>
  <c r="L23" i="1"/>
  <c r="K23" i="1"/>
  <c r="H23" i="1"/>
  <c r="G23" i="1"/>
  <c r="F23" i="1"/>
  <c r="E23" i="1"/>
  <c r="I23" i="1" s="1"/>
  <c r="D23" i="1"/>
  <c r="J23" i="1" s="1"/>
  <c r="S22" i="1"/>
  <c r="L22" i="1"/>
  <c r="K22" i="1"/>
  <c r="J22" i="1"/>
  <c r="H22" i="1"/>
  <c r="G22" i="1"/>
  <c r="F22" i="1"/>
  <c r="E22" i="1"/>
  <c r="I22" i="1" s="1"/>
  <c r="D22" i="1"/>
  <c r="S21" i="1"/>
  <c r="L21" i="1"/>
  <c r="K21" i="1"/>
  <c r="H21" i="1"/>
  <c r="G21" i="1"/>
  <c r="F21" i="1"/>
  <c r="E21" i="1"/>
  <c r="I21" i="1" s="1"/>
  <c r="D21" i="1"/>
  <c r="J21" i="1" s="1"/>
  <c r="S20" i="1"/>
  <c r="L20" i="1"/>
  <c r="K20" i="1"/>
  <c r="J20" i="1"/>
  <c r="H20" i="1"/>
  <c r="G20" i="1"/>
  <c r="F20" i="1"/>
  <c r="E20" i="1"/>
  <c r="I20" i="1" s="1"/>
  <c r="D20" i="1"/>
  <c r="S19" i="1"/>
  <c r="L19" i="1"/>
  <c r="K19" i="1"/>
  <c r="H19" i="1"/>
  <c r="G19" i="1"/>
  <c r="F19" i="1"/>
  <c r="E19" i="1"/>
  <c r="I19" i="1" s="1"/>
  <c r="D19" i="1"/>
  <c r="J19" i="1" s="1"/>
  <c r="S18" i="1"/>
  <c r="L18" i="1"/>
  <c r="K18" i="1"/>
  <c r="J18" i="1"/>
  <c r="H18" i="1"/>
  <c r="G18" i="1"/>
  <c r="F18" i="1"/>
  <c r="E18" i="1"/>
  <c r="I18" i="1" s="1"/>
  <c r="D18" i="1"/>
  <c r="S17" i="1"/>
  <c r="L17" i="1"/>
  <c r="K17" i="1"/>
  <c r="J17" i="1"/>
  <c r="H17" i="1"/>
  <c r="G17" i="1"/>
  <c r="F17" i="1"/>
  <c r="E17" i="1"/>
  <c r="I17" i="1" s="1"/>
  <c r="D17" i="1"/>
  <c r="S16" i="1"/>
  <c r="L16" i="1"/>
  <c r="K16" i="1"/>
  <c r="H16" i="1"/>
  <c r="G16" i="1"/>
  <c r="F16" i="1"/>
  <c r="E16" i="1"/>
  <c r="I16" i="1" s="1"/>
  <c r="D16" i="1"/>
  <c r="J16" i="1" s="1"/>
  <c r="S15" i="1"/>
  <c r="L15" i="1"/>
  <c r="K15" i="1"/>
  <c r="H15" i="1"/>
  <c r="G15" i="1"/>
  <c r="F15" i="1"/>
  <c r="E15" i="1"/>
  <c r="I15" i="1" s="1"/>
  <c r="D15" i="1"/>
  <c r="J15" i="1" s="1"/>
  <c r="S14" i="1"/>
  <c r="L14" i="1"/>
  <c r="K14" i="1"/>
  <c r="H14" i="1"/>
  <c r="G14" i="1"/>
  <c r="F14" i="1"/>
  <c r="E14" i="1"/>
  <c r="I14" i="1" s="1"/>
  <c r="D14" i="1"/>
  <c r="J14" i="1" s="1"/>
  <c r="S13" i="1"/>
  <c r="L13" i="1"/>
  <c r="K13" i="1"/>
  <c r="J13" i="1"/>
  <c r="H13" i="1"/>
  <c r="G13" i="1"/>
  <c r="F13" i="1"/>
  <c r="E13" i="1"/>
  <c r="I13" i="1" s="1"/>
  <c r="D13" i="1"/>
  <c r="S12" i="1"/>
  <c r="L12" i="1"/>
  <c r="K12" i="1"/>
  <c r="H12" i="1"/>
  <c r="G12" i="1"/>
  <c r="F12" i="1"/>
  <c r="E12" i="1"/>
  <c r="I12" i="1" s="1"/>
  <c r="D12" i="1"/>
  <c r="J12" i="1" s="1"/>
  <c r="S11" i="1"/>
  <c r="L11" i="1"/>
  <c r="K11" i="1"/>
  <c r="H11" i="1"/>
  <c r="G11" i="1"/>
  <c r="F11" i="1"/>
  <c r="E11" i="1"/>
  <c r="I11" i="1" s="1"/>
  <c r="D11" i="1"/>
  <c r="J11" i="1" s="1"/>
  <c r="S10" i="1"/>
  <c r="L10" i="1"/>
  <c r="K10" i="1"/>
  <c r="J10" i="1"/>
  <c r="H10" i="1"/>
  <c r="G10" i="1"/>
  <c r="F10" i="1"/>
  <c r="E10" i="1"/>
  <c r="I10" i="1" s="1"/>
  <c r="D10" i="1"/>
  <c r="S9" i="1"/>
  <c r="L9" i="1"/>
  <c r="K9" i="1"/>
  <c r="J9" i="1"/>
  <c r="H9" i="1"/>
  <c r="G9" i="1"/>
  <c r="F9" i="1"/>
  <c r="E9" i="1"/>
  <c r="I9" i="1" s="1"/>
  <c r="D9" i="1"/>
  <c r="S8" i="1"/>
  <c r="L8" i="1"/>
  <c r="K8" i="1"/>
  <c r="H8" i="1"/>
  <c r="G8" i="1"/>
  <c r="F8" i="1"/>
  <c r="E8" i="1"/>
  <c r="I8" i="1" s="1"/>
  <c r="D8" i="1"/>
  <c r="J8" i="1" s="1"/>
  <c r="S7" i="1"/>
  <c r="L7" i="1"/>
  <c r="K7" i="1"/>
  <c r="J7" i="1"/>
  <c r="H7" i="1"/>
  <c r="G7" i="1"/>
  <c r="F7" i="1"/>
  <c r="E7" i="1"/>
  <c r="I7" i="1" s="1"/>
  <c r="D7" i="1"/>
  <c r="S6" i="1"/>
  <c r="L6" i="1"/>
  <c r="K6" i="1"/>
  <c r="H6" i="1"/>
  <c r="G6" i="1"/>
  <c r="F6" i="1"/>
  <c r="E6" i="1"/>
  <c r="I6" i="1" s="1"/>
  <c r="D6" i="1"/>
  <c r="J6" i="1" s="1"/>
  <c r="S5" i="1"/>
  <c r="L5" i="1"/>
  <c r="K5" i="1"/>
  <c r="J5" i="1"/>
  <c r="H5" i="1"/>
  <c r="G5" i="1"/>
  <c r="F5" i="1"/>
  <c r="E5" i="1"/>
  <c r="I5" i="1" s="1"/>
  <c r="D5" i="1"/>
  <c r="S4" i="1"/>
  <c r="L4" i="1"/>
  <c r="K4" i="1"/>
  <c r="H4" i="1"/>
  <c r="G4" i="1"/>
  <c r="F4" i="1"/>
  <c r="E4" i="1"/>
  <c r="I4" i="1" s="1"/>
  <c r="D4" i="1"/>
  <c r="J4" i="1" s="1"/>
  <c r="S3" i="1"/>
  <c r="L3" i="1"/>
  <c r="J3" i="1"/>
  <c r="H3" i="1"/>
  <c r="G3" i="1"/>
  <c r="F3" i="1"/>
  <c r="E3" i="1"/>
  <c r="E95" i="1" s="1"/>
  <c r="D3" i="1"/>
  <c r="J95" i="1" l="1"/>
  <c r="F95" i="1"/>
  <c r="G95" i="1"/>
  <c r="L95" i="1"/>
  <c r="I3" i="1"/>
  <c r="I95" i="1" s="1"/>
  <c r="D95" i="1"/>
  <c r="H95" i="1"/>
  <c r="S95" i="1"/>
  <c r="K95" i="1"/>
  <c r="E12" i="19"/>
  <c r="F12" i="19" l="1"/>
</calcChain>
</file>

<file path=xl/sharedStrings.xml><?xml version="1.0" encoding="utf-8"?>
<sst xmlns="http://schemas.openxmlformats.org/spreadsheetml/2006/main" count="451" uniqueCount="200">
  <si>
    <t>ADM1_EN</t>
  </si>
  <si>
    <t>ADM2_EN</t>
  </si>
  <si>
    <t>Total</t>
  </si>
  <si>
    <t>Male</t>
  </si>
  <si>
    <t>Female</t>
  </si>
  <si>
    <t>Bulawayo</t>
  </si>
  <si>
    <t>Manicaland</t>
  </si>
  <si>
    <t>Buhera</t>
  </si>
  <si>
    <t>Chimanimani</t>
  </si>
  <si>
    <t>Makoni</t>
  </si>
  <si>
    <t>Mutasa</t>
  </si>
  <si>
    <t>Nyanga</t>
  </si>
  <si>
    <t>Mutare Urban</t>
  </si>
  <si>
    <t>Rusape</t>
  </si>
  <si>
    <t>Chipinge Urban</t>
  </si>
  <si>
    <t>Mashonaland Central</t>
  </si>
  <si>
    <t>Centenary/ Muzarabani</t>
  </si>
  <si>
    <t>Guruve</t>
  </si>
  <si>
    <t>Mazowe</t>
  </si>
  <si>
    <t>Mount Darwin</t>
  </si>
  <si>
    <t>Rushinga</t>
  </si>
  <si>
    <t>Shamva</t>
  </si>
  <si>
    <t>Mbire</t>
  </si>
  <si>
    <t>Mvurwi</t>
  </si>
  <si>
    <t>Bindura Urban</t>
  </si>
  <si>
    <t>Mashonaland East</t>
  </si>
  <si>
    <t>Chikomba</t>
  </si>
  <si>
    <t>Goromonzi</t>
  </si>
  <si>
    <t>Hwedza</t>
  </si>
  <si>
    <t>Mudzi</t>
  </si>
  <si>
    <t>Murehwa</t>
  </si>
  <si>
    <t>Mutoko</t>
  </si>
  <si>
    <t>Seke</t>
  </si>
  <si>
    <t>Marondera Urban</t>
  </si>
  <si>
    <t>Ruwa Local Board</t>
  </si>
  <si>
    <t>Mashonaland West</t>
  </si>
  <si>
    <t>Hurungwe</t>
  </si>
  <si>
    <t>Kadoma Urban</t>
  </si>
  <si>
    <t>Makonde</t>
  </si>
  <si>
    <t>Zvimba</t>
  </si>
  <si>
    <t>Chinhoyi</t>
  </si>
  <si>
    <t>Chegutu Urban</t>
  </si>
  <si>
    <t>Kariba Urban</t>
  </si>
  <si>
    <t xml:space="preserve">Norton  </t>
  </si>
  <si>
    <t>Karoi</t>
  </si>
  <si>
    <t>Mhondoro-Ngezi</t>
  </si>
  <si>
    <t>Sanyati</t>
  </si>
  <si>
    <t>Matabeleland  North</t>
  </si>
  <si>
    <t>Binga</t>
  </si>
  <si>
    <t>Bubi</t>
  </si>
  <si>
    <t>Lupane</t>
  </si>
  <si>
    <t>Nkayi</t>
  </si>
  <si>
    <t>Tsholotsho</t>
  </si>
  <si>
    <t>Umguza</t>
  </si>
  <si>
    <t>Hwange Urban</t>
  </si>
  <si>
    <t>Victoria Falls</t>
  </si>
  <si>
    <t>Matabeleland South</t>
  </si>
  <si>
    <t>Bulilima</t>
  </si>
  <si>
    <t>Mangwe</t>
  </si>
  <si>
    <t>Gwanda Rural</t>
  </si>
  <si>
    <t>Insiza</t>
  </si>
  <si>
    <t>Matobo</t>
  </si>
  <si>
    <t>Umzingwane</t>
  </si>
  <si>
    <t>Gwanda Urban</t>
  </si>
  <si>
    <t>Beitbridge Urban</t>
  </si>
  <si>
    <t>Plumtree</t>
  </si>
  <si>
    <t>Midlands</t>
  </si>
  <si>
    <t>Chirumhanzu</t>
  </si>
  <si>
    <t>Gokwe North</t>
  </si>
  <si>
    <t>Gweru Rural</t>
  </si>
  <si>
    <t>Mberengwa</t>
  </si>
  <si>
    <t>Gweru Urban</t>
  </si>
  <si>
    <t>Kwekwe Urban</t>
  </si>
  <si>
    <t>Redcliff</t>
  </si>
  <si>
    <t>Shurugwi Urban</t>
  </si>
  <si>
    <t>Gokwe South Urban</t>
  </si>
  <si>
    <t>Masvingo</t>
  </si>
  <si>
    <t>Bikita</t>
  </si>
  <si>
    <t>Chivi</t>
  </si>
  <si>
    <t>Gutu</t>
  </si>
  <si>
    <t>Mwenezi</t>
  </si>
  <si>
    <t>Zaka</t>
  </si>
  <si>
    <t>Masvingo Urban</t>
  </si>
  <si>
    <t>Chiredzi Urban</t>
  </si>
  <si>
    <t>Harare</t>
  </si>
  <si>
    <t>Chitungwiza</t>
  </si>
  <si>
    <t>Epworth</t>
  </si>
  <si>
    <t>Harare Rural</t>
  </si>
  <si>
    <t>Mutare</t>
  </si>
  <si>
    <t>Chipinge</t>
  </si>
  <si>
    <t>Bindura</t>
  </si>
  <si>
    <t>Chiredzi</t>
  </si>
  <si>
    <t>Zvishavane Urban</t>
  </si>
  <si>
    <t>Zvishavane</t>
  </si>
  <si>
    <t>Shurugwi</t>
  </si>
  <si>
    <t>Kwekwe</t>
  </si>
  <si>
    <t>Gokwe South</t>
  </si>
  <si>
    <t>Beitbridge</t>
  </si>
  <si>
    <t>Hwange</t>
  </si>
  <si>
    <t>Chegutu</t>
  </si>
  <si>
    <t>Kariba</t>
  </si>
  <si>
    <t>Uzumba Maramba Pfungwe</t>
  </si>
  <si>
    <t>Marondera</t>
  </si>
  <si>
    <t xml:space="preserve">People with Disability </t>
  </si>
  <si>
    <t>Chivhu Local Board</t>
  </si>
  <si>
    <t>Population projection 2020</t>
  </si>
  <si>
    <t>Elderly (65+) 
2020 projection</t>
  </si>
  <si>
    <t>Age Group &lt;5</t>
  </si>
  <si>
    <t>Age Group &lt;18</t>
  </si>
  <si>
    <t>Age Group 15 - 49</t>
  </si>
  <si>
    <t>Age Group 50 - 64</t>
  </si>
  <si>
    <t>Age Group 65+</t>
  </si>
  <si>
    <t>Women and Girls (15-49 yrs) 2020 projection</t>
  </si>
  <si>
    <t>Children &lt;18  2020 Projection</t>
  </si>
  <si>
    <t>Total IDPs / Migrants</t>
  </si>
  <si>
    <t>IDPs / Migrants Male</t>
  </si>
  <si>
    <t>IDPs / Migrants Female</t>
  </si>
  <si>
    <t>Life-Sustaining</t>
  </si>
  <si>
    <t>Life-Threatening</t>
  </si>
  <si>
    <t>JIAF SEVERITY SCALE REFERENCE TABLE</t>
  </si>
  <si>
    <t xml:space="preserve">The scale refers to the definitions below. 
</t>
  </si>
  <si>
    <t>The methodology enables distribution of the total number of people in an area or affected group across the five severity classes.</t>
  </si>
  <si>
    <t xml:space="preserve">PROCESS: </t>
  </si>
  <si>
    <t>-Identify agreed affected geographical areas /districts</t>
  </si>
  <si>
    <t xml:space="preserve">-Identify and profile affected population groups, including specific vulnerable groups and number of people affected , establish common baseline figures (broken down by age, gender, disability etc. ) </t>
  </si>
  <si>
    <t>Review and identify indicators and data available for the  geographical area  e.g. District</t>
  </si>
  <si>
    <r>
      <t>Typically these</t>
    </r>
    <r>
      <rPr>
        <b/>
        <sz val="11"/>
        <rFont val="Arial"/>
        <family val="2"/>
      </rPr>
      <t xml:space="preserve"> indicators are derived from needs assessments, surveys, monitoring systems, studies etc</t>
    </r>
    <r>
      <rPr>
        <sz val="11"/>
        <color theme="1"/>
        <rFont val="Calibri"/>
        <family val="2"/>
        <scheme val="minor"/>
      </rPr>
      <t xml:space="preserve">. </t>
    </r>
  </si>
  <si>
    <r>
      <t>Evidence of humanitarian conditions, in the form of</t>
    </r>
    <r>
      <rPr>
        <b/>
        <sz val="11"/>
        <rFont val="Arial"/>
        <family val="2"/>
      </rPr>
      <t xml:space="preserve"> indicators</t>
    </r>
    <r>
      <rPr>
        <sz val="11"/>
        <color theme="1"/>
        <rFont val="Calibri"/>
        <family val="2"/>
        <scheme val="minor"/>
      </rPr>
      <t xml:space="preserve">,  is entered into the JIAF severity model and </t>
    </r>
    <r>
      <rPr>
        <b/>
        <sz val="11"/>
        <rFont val="Arial"/>
        <family val="2"/>
      </rPr>
      <t>classified using the JIAF Severity Scale.</t>
    </r>
  </si>
  <si>
    <t xml:space="preserve">Cluster to select a maximum of 3 indicators  (indicator examples provided in the Indicator Referene Table, or cluster may choose  their own based on available data). </t>
  </si>
  <si>
    <t xml:space="preserve">Clusters and AoR will guide the analysis of quantitative context-shockimpact indicators based on their sectoral expertise. </t>
  </si>
  <si>
    <t xml:space="preserve">Cluster to estimate the  %  of population in each Severity Class (1-5), by Indicator/Area, based on the JIAF Severity Scale definitions. </t>
  </si>
  <si>
    <t xml:space="preserve">Cluster to calculate PiN (Peole in Need) for indicator, based on available data sources. </t>
  </si>
  <si>
    <t>Inter-sectoral data consolidation and joint analysis, based on JIAF guidance</t>
  </si>
  <si>
    <t xml:space="preserve">The final outcome should be an agreed list of NEEDS and associated factors, for each geographical area, affected group  and issues to address, borken down by severity phase (including sex, age, disability and diversity characteristics), based on a collaborative process. </t>
  </si>
  <si>
    <t>People with disability</t>
  </si>
  <si>
    <t>Residence</t>
  </si>
  <si>
    <t>Retuenees</t>
  </si>
  <si>
    <t>IDPs</t>
  </si>
  <si>
    <t>Children under 5 years</t>
  </si>
  <si>
    <t>Children under 18 years</t>
  </si>
  <si>
    <t>Women and Girls 15 to 49 years</t>
  </si>
  <si>
    <t>Elderly above 65 years</t>
  </si>
  <si>
    <t>People living with HIV</t>
  </si>
  <si>
    <t>CCCM</t>
  </si>
  <si>
    <t>Nutrition</t>
  </si>
  <si>
    <t>WASH</t>
  </si>
  <si>
    <t>Education</t>
  </si>
  <si>
    <t>Age Group 6 to 23 months</t>
  </si>
  <si>
    <t>Children &lt;5 2020 projection2</t>
  </si>
  <si>
    <t>Children 6 - 23 months 2020 projection</t>
  </si>
  <si>
    <t>Returnees / Migrants Female</t>
  </si>
  <si>
    <t>Returnees / Migrants Male</t>
  </si>
  <si>
    <t>Total Returnees / Migrants</t>
  </si>
  <si>
    <t>Health</t>
  </si>
  <si>
    <t>Protection/GBV</t>
  </si>
  <si>
    <t>Protection/CP</t>
  </si>
  <si>
    <t>Men and Boys (15-49 yrs) 2020 projection</t>
  </si>
  <si>
    <t>Refugees</t>
  </si>
  <si>
    <t>Refugees &amp; Asylum seekers</t>
  </si>
  <si>
    <t>Shelter/NFIs</t>
  </si>
  <si>
    <t>PWD</t>
  </si>
  <si>
    <t>Feb</t>
  </si>
  <si>
    <t>Mar</t>
  </si>
  <si>
    <t>Apr</t>
  </si>
  <si>
    <t>May</t>
  </si>
  <si>
    <t>Jun</t>
  </si>
  <si>
    <t>Jul</t>
  </si>
  <si>
    <t>Aug</t>
  </si>
  <si>
    <t>Province</t>
  </si>
  <si>
    <t>District</t>
  </si>
  <si>
    <t>Norton</t>
  </si>
  <si>
    <t>Matabeleland North</t>
  </si>
  <si>
    <t>BeitBridge</t>
  </si>
  <si>
    <t>Gwanda</t>
  </si>
  <si>
    <t>Gweru</t>
  </si>
  <si>
    <t>Sept</t>
  </si>
  <si>
    <t>Oct</t>
  </si>
  <si>
    <t>Nov</t>
  </si>
  <si>
    <t>Dec</t>
  </si>
  <si>
    <t>Projection</t>
  </si>
  <si>
    <t>Overaall Reached</t>
  </si>
  <si>
    <t>Cluster</t>
  </si>
  <si>
    <t>Food Security and Livelihoods (FSL)</t>
  </si>
  <si>
    <t>CCS</t>
  </si>
  <si>
    <t>Amount (US$)</t>
  </si>
  <si>
    <t>General Protection</t>
  </si>
  <si>
    <t>CLUSTERS</t>
  </si>
  <si>
    <t>FSC</t>
  </si>
  <si>
    <t>Protection-CP</t>
  </si>
  <si>
    <t>Protection-GBV</t>
  </si>
  <si>
    <t>TOTAL</t>
  </si>
  <si>
    <t>PiN</t>
  </si>
  <si>
    <t>Targets</t>
  </si>
  <si>
    <t>Inter-cluster PIN</t>
  </si>
  <si>
    <t>Inter-cluster Target</t>
  </si>
  <si>
    <t>#adm2+name</t>
  </si>
  <si>
    <t xml:space="preserve">#population+estimated+year2020	</t>
  </si>
  <si>
    <t>#population+female</t>
  </si>
  <si>
    <t>#population+male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</si>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</sst>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 #,##0_-;_-* &quot;-&quot;??_-;_-@_-"/>
  </numFmts>
  <fonts count="18" x14ac:knownFonts="1">
    <font>
      <sz val="11"/>
      <color theme="1"/>
      <name val="Calibri"/>
      <family val="2"/>
      <scheme val="minor"/>
    </font>
    <font>
      <sz val="11"/>
      <color theme="1"/>
      <name val="Calibri"/>
      <family val="2"/>
      <scheme val="minor"/>
    </font>
    <font>
      <sz val="10"/>
      <name val="Arial"/>
      <family val="2"/>
    </font>
    <font>
      <b/>
      <sz val="10"/>
      <color theme="4" tint="-0.249977111117893"/>
      <name val="Calibri Light"/>
      <family val="2"/>
      <charset val="204"/>
      <scheme val="major"/>
    </font>
    <font>
      <sz val="10"/>
      <name val="Calibri Light"/>
      <family val="2"/>
      <scheme val="major"/>
    </font>
    <font>
      <sz val="10"/>
      <color theme="1"/>
      <name val="Calibri Light"/>
      <family val="2"/>
      <scheme val="major"/>
    </font>
    <font>
      <sz val="10"/>
      <name val="Arial"/>
      <family val="2"/>
    </font>
    <font>
      <b/>
      <sz val="11"/>
      <color theme="1"/>
      <name val="Calibri"/>
      <family val="2"/>
      <scheme val="minor"/>
    </font>
    <font>
      <b/>
      <sz val="10"/>
      <color theme="0"/>
      <name val="Calibri Light"/>
      <family val="2"/>
      <charset val="204"/>
      <scheme val="major"/>
    </font>
    <font>
      <sz val="8"/>
      <name val="Calibri"/>
      <family val="2"/>
      <scheme val="minor"/>
    </font>
    <font>
      <sz val="11"/>
      <color theme="1"/>
      <name val="Calibri"/>
      <family val="2"/>
    </font>
    <font>
      <b/>
      <sz val="11"/>
      <color theme="1"/>
      <name val="Calibri"/>
      <family val="2"/>
    </font>
    <font>
      <b/>
      <sz val="11"/>
      <name val="Arial"/>
      <family val="2"/>
    </font>
    <font>
      <sz val="11"/>
      <name val="Arial"/>
      <family val="2"/>
    </font>
    <font>
      <b/>
      <sz val="11"/>
      <color rgb="FF000000"/>
      <name val="Arial"/>
      <family val="2"/>
    </font>
    <font>
      <sz val="12"/>
      <color theme="1"/>
      <name val="Calibri"/>
      <family val="2"/>
    </font>
    <font>
      <sz val="10"/>
      <color rgb="FF000000"/>
      <name val="Arial"/>
      <family val="2"/>
    </font>
    <font>
      <b/>
      <sz val="11"/>
      <color theme="0"/>
      <name val="Calibri"/>
      <family val="2"/>
    </font>
  </fonts>
  <fills count="6">
    <fill>
      <patternFill patternType="none"/>
    </fill>
    <fill>
      <patternFill patternType="gray125"/>
    </fill>
    <fill>
      <patternFill patternType="solid">
        <fgColor theme="4"/>
        <bgColor theme="4"/>
      </patternFill>
    </fill>
    <fill>
      <patternFill patternType="solid">
        <fgColor theme="2" tint="-0.249977111117893"/>
        <bgColor indexed="64"/>
      </patternFill>
    </fill>
    <fill>
      <patternFill patternType="solid">
        <fgColor theme="9" tint="-0.249977111117893"/>
        <bgColor theme="4" tint="0.79998168889431442"/>
      </patternFill>
    </fill>
    <fill>
      <patternFill patternType="solid">
        <fgColor theme="2" tint="-0.499984740745262"/>
        <bgColor indexed="64"/>
      </patternFill>
    </fill>
  </fills>
  <borders count="10">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indexed="64"/>
      </left>
      <right style="thin">
        <color indexed="64"/>
      </right>
      <top/>
      <bottom/>
      <diagonal/>
    </border>
  </borders>
  <cellStyleXfs count="7">
    <xf numFmtId="0" fontId="0" fillId="0" borderId="0"/>
    <xf numFmtId="0" fontId="2" fillId="0" borderId="0" applyNumberFormat="0" applyFill="0" applyBorder="0" applyAlignment="0" applyProtection="0"/>
    <xf numFmtId="43"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6" fillId="0" borderId="0"/>
  </cellStyleXfs>
  <cellXfs count="50">
    <xf numFmtId="0" fontId="0" fillId="0" borderId="0" xfId="0"/>
    <xf numFmtId="0" fontId="3" fillId="0" borderId="0" xfId="1" applyFont="1" applyFill="1" applyAlignment="1">
      <alignment horizontal="right" vertical="top" wrapText="1"/>
    </xf>
    <xf numFmtId="0" fontId="4" fillId="0" borderId="0" xfId="1" applyFont="1" applyFill="1" applyAlignment="1">
      <alignment horizontal="left"/>
    </xf>
    <xf numFmtId="0" fontId="5" fillId="0" borderId="2" xfId="1" applyFont="1" applyFill="1" applyBorder="1" applyAlignment="1">
      <alignment horizontal="left"/>
    </xf>
    <xf numFmtId="0" fontId="4" fillId="0" borderId="0" xfId="1" applyFont="1" applyFill="1" applyAlignment="1">
      <alignment horizontal="right"/>
    </xf>
    <xf numFmtId="0" fontId="5" fillId="0" borderId="3" xfId="1" applyFont="1" applyFill="1" applyBorder="1" applyAlignment="1">
      <alignment horizontal="left"/>
    </xf>
    <xf numFmtId="9" fontId="0" fillId="0" borderId="0" xfId="5" applyFont="1"/>
    <xf numFmtId="1" fontId="5" fillId="0" borderId="1" xfId="1" applyNumberFormat="1" applyFont="1" applyFill="1" applyBorder="1" applyAlignment="1">
      <alignment horizontal="center" vertical="center"/>
    </xf>
    <xf numFmtId="0" fontId="5" fillId="0" borderId="2" xfId="0" applyFont="1" applyFill="1" applyBorder="1" applyAlignment="1">
      <alignment horizontal="left"/>
    </xf>
    <xf numFmtId="0" fontId="5" fillId="0" borderId="4" xfId="0" applyFont="1" applyFill="1" applyBorder="1" applyAlignment="1">
      <alignment horizontal="left"/>
    </xf>
    <xf numFmtId="0" fontId="0" fillId="0" borderId="6" xfId="0" applyBorder="1"/>
    <xf numFmtId="165" fontId="7" fillId="0" borderId="6" xfId="4" applyNumberFormat="1" applyFont="1" applyBorder="1"/>
    <xf numFmtId="165" fontId="5" fillId="0" borderId="5" xfId="0" applyNumberFormat="1" applyFont="1" applyFill="1" applyBorder="1" applyAlignment="1">
      <alignment horizontal="center" vertical="center"/>
    </xf>
    <xf numFmtId="165" fontId="0" fillId="0" borderId="6" xfId="4" applyNumberFormat="1" applyFont="1" applyBorder="1"/>
    <xf numFmtId="0" fontId="8" fillId="0" borderId="0" xfId="1" applyFont="1" applyFill="1" applyAlignment="1">
      <alignment horizontal="center" vertical="center" wrapText="1"/>
    </xf>
    <xf numFmtId="0" fontId="10" fillId="0" borderId="0" xfId="0" applyFont="1"/>
    <xf numFmtId="0" fontId="11" fillId="0" borderId="0" xfId="0" applyFont="1"/>
    <xf numFmtId="0" fontId="13" fillId="0" borderId="0" xfId="0" applyFont="1"/>
    <xf numFmtId="0" fontId="14" fillId="0" borderId="0" xfId="0" applyFont="1" applyAlignment="1">
      <alignment vertical="top"/>
    </xf>
    <xf numFmtId="49" fontId="15" fillId="0" borderId="0" xfId="0" applyNumberFormat="1" applyFont="1"/>
    <xf numFmtId="49" fontId="10" fillId="0" borderId="0" xfId="0" applyNumberFormat="1" applyFont="1"/>
    <xf numFmtId="0" fontId="15" fillId="0" borderId="0" xfId="0" applyFont="1"/>
    <xf numFmtId="164" fontId="0" fillId="0" borderId="6" xfId="0" applyNumberFormat="1" applyBorder="1"/>
    <xf numFmtId="165" fontId="5" fillId="0" borderId="1" xfId="4" applyNumberFormat="1" applyFont="1" applyFill="1" applyBorder="1" applyAlignment="1">
      <alignment horizontal="center" vertical="center"/>
    </xf>
    <xf numFmtId="164" fontId="4" fillId="0" borderId="0" xfId="1" applyNumberFormat="1" applyFont="1" applyFill="1" applyAlignment="1">
      <alignment horizontal="right"/>
    </xf>
    <xf numFmtId="0" fontId="8"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165" fontId="0" fillId="0" borderId="0" xfId="4" applyNumberFormat="1" applyFont="1"/>
    <xf numFmtId="165" fontId="7" fillId="0" borderId="0" xfId="4" applyNumberFormat="1" applyFont="1" applyBorder="1"/>
    <xf numFmtId="165" fontId="0" fillId="0" borderId="0" xfId="4" applyNumberFormat="1" applyFont="1" applyBorder="1"/>
    <xf numFmtId="165" fontId="7" fillId="0" borderId="0" xfId="4" applyNumberFormat="1" applyFont="1"/>
    <xf numFmtId="0" fontId="0" fillId="3" borderId="0" xfId="0" applyFill="1"/>
    <xf numFmtId="165" fontId="7" fillId="4" borderId="0" xfId="4" applyNumberFormat="1" applyFont="1" applyFill="1" applyBorder="1" applyAlignment="1">
      <alignment horizontal="center" vertical="center"/>
    </xf>
    <xf numFmtId="165" fontId="7" fillId="4" borderId="9" xfId="4" applyNumberFormat="1" applyFont="1" applyFill="1" applyBorder="1" applyAlignment="1">
      <alignment horizontal="center" vertical="center"/>
    </xf>
    <xf numFmtId="165" fontId="7" fillId="0" borderId="0" xfId="4" applyNumberFormat="1" applyFont="1" applyAlignment="1">
      <alignment horizontal="center" vertical="center"/>
    </xf>
    <xf numFmtId="0" fontId="0" fillId="0" borderId="0" xfId="0" applyAlignment="1">
      <alignment horizontal="center" vertical="center"/>
    </xf>
    <xf numFmtId="165" fontId="0" fillId="0" borderId="0" xfId="4" applyNumberFormat="1" applyFont="1" applyAlignment="1">
      <alignment vertical="center"/>
    </xf>
    <xf numFmtId="165" fontId="0" fillId="0" borderId="0" xfId="4" applyNumberFormat="1" applyFont="1" applyAlignment="1">
      <alignment vertical="center" wrapText="1"/>
    </xf>
    <xf numFmtId="165" fontId="0" fillId="0" borderId="0" xfId="4" applyNumberFormat="1" applyFont="1" applyAlignment="1">
      <alignment horizontal="center" vertical="center"/>
    </xf>
    <xf numFmtId="165" fontId="7" fillId="0" borderId="0" xfId="4" applyNumberFormat="1" applyFont="1" applyAlignment="1">
      <alignment vertical="center"/>
    </xf>
    <xf numFmtId="0" fontId="0" fillId="5" borderId="0" xfId="0" applyFill="1" applyAlignment="1">
      <alignment horizontal="center" vertical="center" wrapText="1"/>
    </xf>
    <xf numFmtId="0" fontId="0" fillId="5" borderId="0" xfId="0" applyFill="1"/>
    <xf numFmtId="165" fontId="17" fillId="2" borderId="7" xfId="4" applyNumberFormat="1" applyFont="1" applyFill="1" applyBorder="1" applyAlignment="1">
      <alignment horizontal="center" vertical="center" wrapText="1"/>
    </xf>
    <xf numFmtId="165" fontId="17" fillId="2" borderId="8" xfId="4" applyNumberFormat="1" applyFont="1" applyFill="1" applyBorder="1" applyAlignment="1">
      <alignment horizontal="center" vertical="center" wrapText="1"/>
    </xf>
    <xf numFmtId="0" fontId="5" fillId="0" borderId="4" xfId="1" applyFont="1" applyFill="1" applyBorder="1" applyAlignment="1">
      <alignment horizontal="left"/>
    </xf>
    <xf numFmtId="1" fontId="5" fillId="0" borderId="5" xfId="1" applyNumberFormat="1" applyFont="1" applyFill="1" applyBorder="1" applyAlignment="1">
      <alignment horizontal="center" vertical="center"/>
    </xf>
    <xf numFmtId="1" fontId="5" fillId="0" borderId="4" xfId="1" applyNumberFormat="1" applyFont="1" applyFill="1" applyBorder="1" applyAlignment="1">
      <alignment horizontal="center" vertical="center"/>
    </xf>
    <xf numFmtId="165" fontId="5" fillId="0" borderId="4" xfId="4" applyNumberFormat="1" applyFont="1" applyFill="1" applyBorder="1" applyAlignment="1">
      <alignment horizontal="center" vertical="center"/>
    </xf>
    <xf numFmtId="1" fontId="5" fillId="0" borderId="2" xfId="1" applyNumberFormat="1" applyFont="1" applyFill="1" applyBorder="1" applyAlignment="1">
      <alignment horizontal="center" vertical="center"/>
    </xf>
    <xf numFmtId="0" fontId="7" fillId="0" borderId="6" xfId="0" applyFont="1" applyBorder="1" applyAlignment="1">
      <alignment horizontal="center"/>
    </xf>
  </cellXfs>
  <cellStyles count="7">
    <cellStyle name="Comma" xfId="4" builtinId="3"/>
    <cellStyle name="Comma 2" xfId="2" xr:uid="{D79F3616-043B-4087-8D8D-9B7B12652CE3}"/>
    <cellStyle name="Normal" xfId="0" builtinId="0"/>
    <cellStyle name="Normal 2" xfId="1" xr:uid="{D2F11BDB-DE5E-409A-A013-C7A11958CF43}"/>
    <cellStyle name="Normal 2 2" xfId="3" xr:uid="{BBD93165-49E3-45EB-A0FF-F57E99103004}"/>
    <cellStyle name="Normal 3" xfId="6" xr:uid="{494DCC5E-DE8B-42F3-8B1E-081E0C5F0F47}"/>
    <cellStyle name="Percent" xfId="5" builtinId="5"/>
  </cellStyles>
  <dxfs count="74">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font>
        <b/>
        <i val="0"/>
        <strike val="0"/>
        <condense val="0"/>
        <extend val="0"/>
        <outline val="0"/>
        <shadow val="0"/>
        <u val="none"/>
        <vertAlign val="baseline"/>
        <sz val="11"/>
        <color theme="1"/>
        <name val="Calibri"/>
        <family val="2"/>
        <scheme val="minor"/>
      </font>
      <numFmt numFmtId="165" formatCode="_-* #,##0_-;\-* #,##0_-;_-* &quot;-&quot;??_-;_-@_-"/>
    </dxf>
    <dxf>
      <numFmt numFmtId="165" formatCode="_-* #,##0_-;\-* #,##0_-;_-* &quot;-&quot;??_-;_-@_-"/>
    </dxf>
    <dxf>
      <font>
        <b/>
        <i val="0"/>
        <strike val="0"/>
        <condense val="0"/>
        <extend val="0"/>
        <outline val="0"/>
        <shadow val="0"/>
        <u val="none"/>
        <vertAlign val="baseline"/>
        <sz val="11"/>
        <color theme="1"/>
        <name val="Calibri"/>
        <family val="2"/>
        <scheme val="minor"/>
      </font>
      <numFmt numFmtId="165" formatCode="_-* #,##0_-;\-* #,##0_-;_-* &quot;-&quot;??_-;_-@_-"/>
      <fill>
        <patternFill patternType="solid">
          <fgColor theme="4" tint="0.79998168889431442"/>
          <bgColor theme="9"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5" formatCode="_-* #,##0_-;\-* #,##0_-;_-* &quot;-&quot;??_-;_-@_-"/>
      <alignment horizontal="center" vertical="center" textRotation="0" wrapText="0" indent="0" justifyLastLine="0" shrinkToFit="0" readingOrder="0"/>
    </dxf>
    <dxf>
      <numFmt numFmtId="165" formatCode="_-* #,##0_-;\-* #,##0_-;_-* &quot;-&quot;??_-;_-@_-"/>
      <alignment horizontal="general" vertical="center" textRotation="0" wrapText="0" indent="0" justifyLastLine="0" shrinkToFit="0" readingOrder="0"/>
    </dxf>
    <dxf>
      <numFmt numFmtId="165" formatCode="_-* #,##0_-;\-* #,##0_-;_-* &quot;-&quot;??_-;_-@_-"/>
    </dxf>
    <dxf>
      <border outline="0">
        <bottom style="thick">
          <color theme="0"/>
        </bottom>
      </border>
    </dxf>
    <dxf>
      <font>
        <b/>
        <i val="0"/>
        <strike val="0"/>
        <condense val="0"/>
        <extend val="0"/>
        <outline val="0"/>
        <shadow val="0"/>
        <u val="none"/>
        <vertAlign val="baseline"/>
        <sz val="11"/>
        <color theme="0"/>
        <name val="Calibri"/>
        <family val="2"/>
        <scheme val="none"/>
      </font>
      <numFmt numFmtId="165" formatCode="_-* #,##0_-;\-* #,##0_-;_-* &quot;-&quot;??_-;_-@_-"/>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5" formatCode="_-* #,##0_-;\-* #,##0_-;_-* &quot;-&quot;??_-;_-@_-"/>
      <alignment horizontal="center" vertical="center" textRotation="0" wrapText="0" indent="0" justifyLastLine="0" shrinkToFit="0" readingOrder="0"/>
    </dxf>
    <dxf>
      <numFmt numFmtId="165" formatCode="_-* #,##0_-;\-* #,##0_-;_-* &quot;-&quot;??_-;_-@_-"/>
      <alignment horizontal="center" vertical="center" textRotation="0" wrapText="0" indent="0" justifyLastLine="0" shrinkToFit="0" readingOrder="0"/>
    </dxf>
    <dxf>
      <numFmt numFmtId="165" formatCode="_-* #,##0_-;\-* #,##0_-;_-* &quot;-&quot;??_-;_-@_-"/>
      <alignment horizontal="center" vertical="center" textRotation="0" wrapText="0" indent="0" justifyLastLine="0" shrinkToFit="0" readingOrder="0"/>
    </dxf>
    <dxf>
      <numFmt numFmtId="165" formatCode="_-* #,##0_-;\-* #,##0_-;_-* &quot;-&quot;??_-;_-@_-"/>
      <alignment horizontal="center" vertical="center" textRotation="0" wrapText="0" indent="0" justifyLastLine="0" shrinkToFit="0" readingOrder="0"/>
    </dxf>
    <dxf>
      <numFmt numFmtId="165" formatCode="_-* #,##0_-;\-* #,##0_-;_-* &quot;-&quot;??_-;_-@_-"/>
      <alignment horizontal="general" vertical="center" textRotation="0" indent="0" justifyLastLine="0" shrinkToFit="0" readingOrder="0"/>
    </dxf>
    <dxf>
      <numFmt numFmtId="165" formatCode="_-* #,##0_-;\-* #,##0_-;_-* &quot;-&quot;??_-;_-@_-"/>
      <alignment horizontal="general" vertical="center" textRotation="0" indent="0" justifyLastLine="0" shrinkToFit="0" readingOrder="0"/>
    </dxf>
    <dxf>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5"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114300</xdr:rowOff>
    </xdr:from>
    <xdr:ext cx="11125200" cy="10277475"/>
    <xdr:pic>
      <xdr:nvPicPr>
        <xdr:cNvPr id="2" name="image4.png" title="Image">
          <a:extLst>
            <a:ext uri="{FF2B5EF4-FFF2-40B4-BE49-F238E27FC236}">
              <a16:creationId xmlns:a16="http://schemas.microsoft.com/office/drawing/2014/main" id="{D5C044E3-0D7E-45D3-A607-74B086AEBE2E}"/>
            </a:ext>
          </a:extLst>
        </xdr:cNvPr>
        <xdr:cNvPicPr preferRelativeResize="0"/>
      </xdr:nvPicPr>
      <xdr:blipFill>
        <a:blip xmlns:r="http://schemas.openxmlformats.org/officeDocument/2006/relationships" r:embed="rId1" cstate="print"/>
        <a:stretch>
          <a:fillRect/>
        </a:stretch>
      </xdr:blipFill>
      <xdr:spPr>
        <a:xfrm>
          <a:off x="0" y="869950"/>
          <a:ext cx="11125200" cy="102774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141562</xdr:colOff>
      <xdr:row>21</xdr:row>
      <xdr:rowOff>56659</xdr:rowOff>
    </xdr:to>
    <xdr:pic>
      <xdr:nvPicPr>
        <xdr:cNvPr id="2" name="Picture 1">
          <a:extLst>
            <a:ext uri="{FF2B5EF4-FFF2-40B4-BE49-F238E27FC236}">
              <a16:creationId xmlns:a16="http://schemas.microsoft.com/office/drawing/2014/main" id="{D2173A0D-6F18-4025-9FB9-D4AEE4B31F10}"/>
            </a:ext>
          </a:extLst>
        </xdr:cNvPr>
        <xdr:cNvPicPr>
          <a:picLocks noChangeAspect="1"/>
        </xdr:cNvPicPr>
      </xdr:nvPicPr>
      <xdr:blipFill>
        <a:blip xmlns:r="http://schemas.openxmlformats.org/officeDocument/2006/relationships" r:embed="rId1"/>
        <a:stretch>
          <a:fillRect/>
        </a:stretch>
      </xdr:blipFill>
      <xdr:spPr>
        <a:xfrm>
          <a:off x="0" y="0"/>
          <a:ext cx="10504762" cy="39238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3E4AF2-C9D4-4CEA-A759-A94EB79B6E01}" name="Table1" displayName="Table1" ref="A1:S95" totalsRowCount="1" headerRowDxfId="73" dataDxfId="72" tableBorderDxfId="71" headerRowCellStyle="Normal 2" dataCellStyle="Normal 2">
  <autoFilter ref="A1:S94" xr:uid="{C0E2E04A-35AB-4441-9191-2E9B194F31BE}"/>
  <sortState xmlns:xlrd2="http://schemas.microsoft.com/office/spreadsheetml/2017/richdata2" ref="A2:S94">
    <sortCondition ref="A3:A94"/>
    <sortCondition ref="B3:B94"/>
  </sortState>
  <tableColumns count="19">
    <tableColumn id="1" xr3:uid="{EE9F0082-0CAD-4A6E-AD62-542EB175A949}" name="ADM1_EN" totalsRowLabel="Zimbabwe" dataDxfId="70" totalsRowDxfId="18" dataCellStyle="Normal 2"/>
    <tableColumn id="2" xr3:uid="{AE3FE9E8-3BFD-4842-A561-13B693C928C5}" name="ADM2_EN" totalsRowLabel="TOTAL" dataDxfId="69" totalsRowDxfId="17" dataCellStyle="Normal 2"/>
    <tableColumn id="3" xr3:uid="{22D2664C-A025-46ED-8AD4-B909122BED43}" name="Population projection 2020" totalsRowFunction="custom" dataDxfId="68" totalsRowDxfId="16" dataCellStyle="Normal 2">
      <totalsRowFormula>SUM(Table1[Population projection 2020])</totalsRowFormula>
    </tableColumn>
    <tableColumn id="4" xr3:uid="{103982EF-9D16-4787-8931-A87E6A39D3B8}" name="Male" totalsRowFunction="custom" dataDxfId="67" totalsRowDxfId="15" dataCellStyle="Normal 2">
      <totalsRowFormula>SUM(Table1[Male])</totalsRowFormula>
    </tableColumn>
    <tableColumn id="5" xr3:uid="{B9900261-F634-48A9-8839-ABB8CB7720EF}" name="Female" totalsRowFunction="custom" dataDxfId="66" totalsRowDxfId="14" dataCellStyle="Normal 2">
      <totalsRowFormula>SUM(Table1[Female])</totalsRowFormula>
    </tableColumn>
    <tableColumn id="14" xr3:uid="{30B11EB3-14FD-4DEB-BB26-D6DC8CBBAC3E}" name="Children 6 - 23 months 2020 projection" totalsRowFunction="custom" dataDxfId="65" totalsRowDxfId="13" dataCellStyle="Normal 2">
      <calculatedColumnFormula>Table1[[#This Row],[Population projection 2020]]*0.08</calculatedColumnFormula>
      <totalsRowFormula>SUM(Table1[Children 6 - 23 months 2020 projection])</totalsRowFormula>
    </tableColumn>
    <tableColumn id="6" xr3:uid="{CD877239-1EDD-47DA-8B90-BD058C6A54C2}" name="Children &lt;5 2020 projection2" totalsRowFunction="custom" dataDxfId="64" totalsRowDxfId="12" dataCellStyle="Normal 2">
      <totalsRowFormula>SUM(Table1[Children &lt;5 2020 projection2])</totalsRowFormula>
    </tableColumn>
    <tableColumn id="7" xr3:uid="{AA8863D1-F7EF-494A-9AA5-70EF1492BDB3}" name="Children &lt;18  2020 Projection" totalsRowFunction="custom" dataDxfId="63" totalsRowDxfId="11" dataCellStyle="Normal 2">
      <totalsRowFormula>SUM(Table1[Children &lt;18  2020 Projection])</totalsRowFormula>
    </tableColumn>
    <tableColumn id="8" xr3:uid="{1320ED2E-2B49-4E98-AE14-55B02C79CCC9}" name="Women and Girls (15-49 yrs) 2020 projection" totalsRowFunction="custom" dataDxfId="62" totalsRowDxfId="10" dataCellStyle="Normal 2">
      <totalsRowFormula>SUM(Table1[Women and Girls (15-49 yrs) 2020 projection])</totalsRowFormula>
    </tableColumn>
    <tableColumn id="18" xr3:uid="{B1B957CA-ADE2-4424-B6F5-E9F7DA1682EF}" name="Men and Boys (15-49 yrs) 2020 projection" totalsRowFunction="custom" dataDxfId="61" totalsRowDxfId="9" dataCellStyle="Normal 2">
      <totalsRowFormula>SUM(Table1[Men and Boys (15-49 yrs) 2020 projection])</totalsRowFormula>
    </tableColumn>
    <tableColumn id="9" xr3:uid="{1641B93E-57D7-48B4-996F-E56666B6439D}" name="Elderly (65+) _x000a_2020 projection" totalsRowFunction="custom" dataDxfId="60" totalsRowDxfId="8" dataCellStyle="Normal 2">
      <totalsRowFormula>SUM(Table1[Elderly (65+) 
2020 projection])</totalsRowFormula>
    </tableColumn>
    <tableColumn id="10" xr3:uid="{417E2356-D009-49BD-832F-6FD4B7B18ACA}" name="Total IDPs / Migrants" totalsRowFunction="custom" dataDxfId="59" totalsRowDxfId="7" dataCellStyle="Comma">
      <calculatedColumnFormula>SUM(Table1[[#This Row],[IDPs / Migrants Male]:[IDPs / Migrants Female]])</calculatedColumnFormula>
      <totalsRowFormula>SUM(Table1[Total IDPs / Migrants])</totalsRowFormula>
    </tableColumn>
    <tableColumn id="13" xr3:uid="{A3B7D2A7-7C1C-4833-B7E4-66C9918250BA}" name="IDPs / Migrants Male" totalsRowFunction="custom" dataDxfId="58" totalsRowDxfId="6" dataCellStyle="Normal 2">
      <totalsRowFormula>SUM(Table1[IDPs / Migrants Male])</totalsRowFormula>
    </tableColumn>
    <tableColumn id="12" xr3:uid="{D959E0F3-CF28-40DD-8A6A-32874B66492C}" name="IDPs / Migrants Female" totalsRowFunction="custom" dataDxfId="57" totalsRowDxfId="5" dataCellStyle="Normal 2">
      <totalsRowFormula>SUM(Table1[IDPs / Migrants Female])</totalsRowFormula>
    </tableColumn>
    <tableColumn id="15" xr3:uid="{060D3D74-EA6B-4A9F-A07A-CF91FD64D98B}" name="Total Returnees / Migrants" totalsRowFunction="custom" dataDxfId="56" totalsRowDxfId="4" dataCellStyle="Normal 2">
      <totalsRowFormula>SUM(Table1[Total Returnees / Migrants])</totalsRowFormula>
    </tableColumn>
    <tableColumn id="17" xr3:uid="{20BE92BA-9BB6-4C94-8C9D-91ADC9C6D861}" name="Returnees / Migrants Male" totalsRowFunction="custom" dataDxfId="55" totalsRowDxfId="3" dataCellStyle="Normal 2">
      <totalsRowFormula>SUM(Table1[Returnees / Migrants Male])</totalsRowFormula>
    </tableColumn>
    <tableColumn id="16" xr3:uid="{DF756B0D-6FB8-4608-80ED-ED6560A58D6E}" name="Returnees / Migrants Female" totalsRowFunction="custom" dataDxfId="54" totalsRowDxfId="2" dataCellStyle="Normal 2">
      <totalsRowFormula>SUM(Table1[Returnees / Migrants Female])</totalsRowFormula>
    </tableColumn>
    <tableColumn id="20" xr3:uid="{CC0D612B-C99B-4D59-83B0-72F8E9DD1A84}" name="Refugees &amp; Asylum seekers" totalsRowFunction="custom" dataDxfId="53" totalsRowDxfId="1" dataCellStyle="Normal 2">
      <totalsRowFormula>SUM(Table1[Refugees &amp; Asylum seekers])</totalsRowFormula>
    </tableColumn>
    <tableColumn id="11" xr3:uid="{648867A1-6BE6-4506-BFA9-E6AD548216C4}" name="People with Disability " totalsRowFunction="custom" dataDxfId="52" totalsRowDxfId="0" dataCellStyle="Normal 2">
      <calculatedColumnFormula>Table1[[#This Row],[Population projection 2020]]*0.07</calculatedColumnFormula>
      <totalsRowFormula>SUM(Table1[[People with Disability ]])</totalsRowFormula>
    </tableColumn>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2917451-0337-44DC-A433-2BC682A6491A}" name="Table16" displayName="Table16" ref="B1:F12" totalsRowShown="0" headerRowDxfId="51" dataDxfId="50" headerRowCellStyle="Comma" dataCellStyle="Comma">
  <autoFilter ref="B1:F12" xr:uid="{0E9ABCD5-462F-4185-BDAC-8C7D704FBC06}"/>
  <tableColumns count="5">
    <tableColumn id="1" xr3:uid="{669207C3-9E5F-4656-A4F0-39AA9CAEE58D}" name="CLUSTERS" dataDxfId="49" dataCellStyle="Comma"/>
    <tableColumn id="2" xr3:uid="{601E0B69-BC78-4F0D-8453-1F4BF9495815}" name="PiN" dataDxfId="48" dataCellStyle="Comma"/>
    <tableColumn id="3" xr3:uid="{F02D6432-AA23-41F2-953A-7B861B6B2242}" name="Targets" dataDxfId="47" dataCellStyle="Comma"/>
    <tableColumn id="4" xr3:uid="{F48BCDF4-C9FD-4810-B039-394705471EA1}" name="Inter-cluster PIN" dataDxfId="46" dataCellStyle="Comma"/>
    <tableColumn id="5" xr3:uid="{64DC6E86-D9E8-417C-85E6-5240AF373BA6}" name="Inter-cluster Target" dataDxfId="45" dataCellStyle="Comma">
      <calculatedColumnFormula>SUM(#REF!)</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76620ED-34AB-49DA-9A34-01A4305B7414}" name="Table1519" displayName="Table1519" ref="H1:I13" totalsRowShown="0" headerRowDxfId="44" dataDxfId="42" headerRowBorderDxfId="43" headerRowCellStyle="Comma" dataCellStyle="Comma">
  <autoFilter ref="H1:I13" xr:uid="{D56F2A23-A08E-4221-BD5E-723D86ABB679}"/>
  <sortState xmlns:xlrd2="http://schemas.microsoft.com/office/spreadsheetml/2017/richdata2" ref="H2:I13">
    <sortCondition descending="1" ref="I2:I13"/>
  </sortState>
  <tableColumns count="2">
    <tableColumn id="1" xr3:uid="{DA32DA70-B636-47A2-AA1C-9B0536BEB675}" name="Cluster" dataDxfId="41" dataCellStyle="Comma"/>
    <tableColumn id="2" xr3:uid="{E9FA25DF-B4BD-4C51-B122-A1D288210CF1}" name="Amount (US$)" dataDxfId="40" dataCellStyle="Comma"/>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0308F7-27A4-49F0-83B3-9D8A27090316}" name="Table11" displayName="Table11" ref="A1:O71" totalsRowShown="0" headerRowDxfId="39" dataDxfId="38" headerRowCellStyle="Comma" dataCellStyle="Comma">
  <autoFilter ref="A1:O71" xr:uid="{002FD02E-C8DA-41EA-8BBA-91EBEF488C5D}"/>
  <tableColumns count="15">
    <tableColumn id="1" xr3:uid="{23B568C3-B56D-4F39-BFD1-19528A1D134E}" name="Province" dataDxfId="37" dataCellStyle="Comma"/>
    <tableColumn id="2" xr3:uid="{A13B7263-0FF7-4551-899E-3BB71EE68BC2}" name="District" dataDxfId="36" dataCellStyle="Comma"/>
    <tableColumn id="3" xr3:uid="{16254BDD-6ADD-4DF4-97A8-07491732473B}" name="Feb" dataDxfId="35" dataCellStyle="Comma"/>
    <tableColumn id="4" xr3:uid="{BB89FC65-B86F-45E2-92F4-9DB482BA0746}" name="Mar" dataDxfId="34" dataCellStyle="Comma"/>
    <tableColumn id="5" xr3:uid="{5FCC0170-9468-4DAF-815C-FF71D737AEEC}" name="Apr" dataDxfId="33" dataCellStyle="Comma"/>
    <tableColumn id="6" xr3:uid="{F37BD2D6-ECD1-4ABA-B6EB-7625A5A03700}" name="May" dataDxfId="32" dataCellStyle="Comma"/>
    <tableColumn id="7" xr3:uid="{405BDFCB-8CB8-433D-9249-9CBBCC42B1E4}" name="Jun" dataDxfId="31" dataCellStyle="Comma"/>
    <tableColumn id="8" xr3:uid="{DD150F2A-3432-4C5B-A111-20687DB5A550}" name="Jul" dataDxfId="30" dataCellStyle="Comma"/>
    <tableColumn id="9" xr3:uid="{41289558-1868-4285-801E-4A3D4FEDD5CE}" name="Aug" dataDxfId="29" dataCellStyle="Comma"/>
    <tableColumn id="10" xr3:uid="{4F6E00A8-BA83-4E60-A78E-0FAB08441C7C}" name="Sept" dataDxfId="28" dataCellStyle="Comma"/>
    <tableColumn id="11" xr3:uid="{2C7DBE87-570C-464F-A5E4-730D5A231FE1}" name="Oct" dataDxfId="27" dataCellStyle="Comma"/>
    <tableColumn id="12" xr3:uid="{4464E881-FF93-44BF-8941-65343A68CA87}" name="Nov" dataDxfId="26" dataCellStyle="Comma"/>
    <tableColumn id="13" xr3:uid="{78B8056D-ACCF-4EC0-948A-FD160FDFAEEB}" name="Dec" dataDxfId="25" dataCellStyle="Comma"/>
    <tableColumn id="14" xr3:uid="{9AD2009C-6528-42F9-891C-C80353EE7695}" name="Projection" dataDxfId="24" dataCellStyle="Comma">
      <calculatedColumnFormula>MAX(Table11[[#This Row],[Feb]:[Dec]])</calculatedColumnFormula>
    </tableColumn>
    <tableColumn id="15" xr3:uid="{5F1BD873-3C91-466A-9F15-45A4BE858C46}" name="Overaall Reached" dataDxfId="23" dataCellStyle="Comma"/>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3F280CE-C9A0-4CAF-AB7E-B55F08875A35}" name="Table14" displayName="Table14" ref="Q1:S71" totalsRowShown="0" dataDxfId="22" dataCellStyle="Comma">
  <autoFilter ref="Q1:S71" xr:uid="{4AEEDCD6-9DFF-4E28-846E-321D6F90E81F}"/>
  <tableColumns count="3">
    <tableColumn id="1" xr3:uid="{47AC70BB-80DD-48C9-A5A9-126F72F9498A}" name="Male" dataDxfId="21" dataCellStyle="Comma">
      <calculatedColumnFormula>Table11[[#This Row],[Overaall Reached]]*0.48</calculatedColumnFormula>
    </tableColumn>
    <tableColumn id="2" xr3:uid="{A1BFA6FF-BFE4-43BC-8930-86570A3692F2}" name="Female" dataDxfId="20" dataCellStyle="Comma">
      <calculatedColumnFormula>Table11[[#This Row],[Overaall Reached]]-Table14[[#This Row],[Male]]</calculatedColumnFormula>
    </tableColumn>
    <tableColumn id="3" xr3:uid="{4B82681A-0E09-4979-8AE6-108F2A7F3F5B}" name="PWD" dataDxfId="19" dataCellStyle="Comma">
      <calculatedColumnFormula>Table11[[#This Row],[Overaall Reached]]*0.07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93FC-4119-4D23-9E4A-CF9B536CB905}">
  <dimension ref="A1:Z1000"/>
  <sheetViews>
    <sheetView topLeftCell="A7" workbookViewId="0">
      <selection activeCell="P3" sqref="P3"/>
    </sheetView>
  </sheetViews>
  <sheetFormatPr defaultColWidth="13.85546875" defaultRowHeight="15" customHeight="1" x14ac:dyDescent="0.25"/>
  <cols>
    <col min="1" max="26" width="8.42578125" customWidth="1"/>
  </cols>
  <sheetData>
    <row r="1" spans="1:26" x14ac:dyDescent="0.25">
      <c r="A1" s="18" t="s">
        <v>119</v>
      </c>
    </row>
    <row r="2" spans="1:26" x14ac:dyDescent="0.25">
      <c r="A2" s="16"/>
    </row>
    <row r="3" spans="1:26" ht="15.75" x14ac:dyDescent="0.25">
      <c r="A3" s="19" t="s">
        <v>120</v>
      </c>
      <c r="B3" s="20"/>
      <c r="C3" s="20"/>
      <c r="D3" s="20"/>
      <c r="E3" s="20"/>
      <c r="F3" s="20"/>
      <c r="G3" s="20"/>
      <c r="H3" s="20"/>
      <c r="I3" s="20"/>
      <c r="J3" s="20"/>
      <c r="K3" s="20"/>
      <c r="L3" s="20"/>
      <c r="M3" s="20"/>
      <c r="N3" s="20"/>
      <c r="O3" s="20"/>
      <c r="P3" s="20"/>
      <c r="Q3" s="20"/>
      <c r="R3" s="20"/>
      <c r="S3" s="20"/>
      <c r="T3" s="20"/>
      <c r="U3" s="20"/>
      <c r="V3" s="20"/>
      <c r="W3" s="20"/>
      <c r="X3" s="20"/>
      <c r="Y3" s="20"/>
      <c r="Z3" s="20"/>
    </row>
    <row r="4" spans="1:26" ht="15.75" x14ac:dyDescent="0.25">
      <c r="A4" s="21" t="s">
        <v>121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DDA65-3140-4F1B-B9C7-34074FF9C1DA}">
  <sheetPr>
    <tabColor theme="5" tint="-0.249977111117893"/>
  </sheetPr>
  <dimension ref="A1:S97"/>
  <sheetViews>
    <sheetView showGridLines="0" tabSelected="1" zoomScale="110" zoomScaleNormal="110" workbookViewId="0">
      <pane xSplit="2" ySplit="1" topLeftCell="C73" activePane="bottomRight" state="frozen"/>
      <selection pane="topRight" activeCell="C1" sqref="C1"/>
      <selection pane="bottomLeft" activeCell="A2" sqref="A2"/>
      <selection pane="bottomRight" activeCell="B95" sqref="B95"/>
    </sheetView>
  </sheetViews>
  <sheetFormatPr defaultColWidth="15.5703125" defaultRowHeight="12.75" x14ac:dyDescent="0.2"/>
  <cols>
    <col min="1" max="1" width="17.5703125" style="2" customWidth="1"/>
    <col min="2" max="2" width="21.140625" style="2" customWidth="1"/>
    <col min="3" max="3" width="14.140625" style="4" customWidth="1"/>
    <col min="4" max="4" width="11.7109375" style="4" customWidth="1"/>
    <col min="5" max="5" width="10.140625" style="4" customWidth="1"/>
    <col min="6" max="6" width="14.42578125" style="4" customWidth="1"/>
    <col min="7" max="8" width="10.5703125" style="4" customWidth="1"/>
    <col min="9" max="9" width="13.28515625" style="4" customWidth="1"/>
    <col min="10" max="10" width="12.140625" style="4" customWidth="1"/>
    <col min="11" max="11" width="10.5703125" style="4" customWidth="1"/>
    <col min="12" max="12" width="8.28515625" style="4" customWidth="1"/>
    <col min="13" max="14" width="6.85546875" style="4" customWidth="1"/>
    <col min="15" max="18" width="10.28515625" style="4" customWidth="1"/>
    <col min="19" max="19" width="10.85546875" style="4" customWidth="1"/>
    <col min="20" max="16384" width="15.5703125" style="4"/>
  </cols>
  <sheetData>
    <row r="1" spans="1:19" s="1" customFormat="1" ht="41.45" customHeight="1" x14ac:dyDescent="0.25">
      <c r="A1" s="25" t="s">
        <v>0</v>
      </c>
      <c r="B1" s="25" t="s">
        <v>1</v>
      </c>
      <c r="C1" s="26" t="s">
        <v>105</v>
      </c>
      <c r="D1" s="26" t="s">
        <v>3</v>
      </c>
      <c r="E1" s="26" t="s">
        <v>4</v>
      </c>
      <c r="F1" s="14" t="s">
        <v>149</v>
      </c>
      <c r="G1" s="14" t="s">
        <v>148</v>
      </c>
      <c r="H1" s="14" t="s">
        <v>113</v>
      </c>
      <c r="I1" s="14" t="s">
        <v>112</v>
      </c>
      <c r="J1" s="14" t="s">
        <v>156</v>
      </c>
      <c r="K1" s="14" t="s">
        <v>106</v>
      </c>
      <c r="L1" s="14" t="s">
        <v>114</v>
      </c>
      <c r="M1" s="14" t="s">
        <v>115</v>
      </c>
      <c r="N1" s="14" t="s">
        <v>116</v>
      </c>
      <c r="O1" s="14" t="s">
        <v>152</v>
      </c>
      <c r="P1" s="14" t="s">
        <v>151</v>
      </c>
      <c r="Q1" s="14" t="s">
        <v>150</v>
      </c>
      <c r="R1" s="14" t="s">
        <v>158</v>
      </c>
      <c r="S1" s="14" t="s">
        <v>103</v>
      </c>
    </row>
    <row r="2" spans="1:19" s="1" customFormat="1" ht="12.75" customHeight="1" x14ac:dyDescent="0.2">
      <c r="A2" s="3"/>
      <c r="B2" s="44" t="s">
        <v>195</v>
      </c>
      <c r="C2" s="45" t="s">
        <v>196</v>
      </c>
      <c r="D2" s="46" t="s">
        <v>198</v>
      </c>
      <c r="E2" s="46" t="s">
        <v>197</v>
      </c>
      <c r="F2" s="7" t="e">
        <f>Table1[[#This Row],[Population projection 2020]]*0.08</f>
        <v>#VALUE!</v>
      </c>
      <c r="G2" s="46"/>
      <c r="H2" s="46"/>
      <c r="I2" s="46"/>
      <c r="J2" s="7"/>
      <c r="K2" s="46"/>
      <c r="L2" s="47">
        <f>SUM(Table1[[#This Row],[IDPs / Migrants Male]:[IDPs / Migrants Female]])</f>
        <v>0</v>
      </c>
      <c r="M2" s="48"/>
      <c r="N2" s="7"/>
      <c r="O2" s="7"/>
      <c r="P2" s="7"/>
      <c r="Q2" s="7"/>
      <c r="R2" s="7"/>
      <c r="S2" s="48" t="e">
        <f>Table1[[#This Row],[Population projection 2020]]*0.07</f>
        <v>#VALUE!</v>
      </c>
    </row>
    <row r="3" spans="1:19" x14ac:dyDescent="0.2">
      <c r="A3" s="3" t="s">
        <v>5</v>
      </c>
      <c r="B3" s="3" t="s">
        <v>5</v>
      </c>
      <c r="C3" s="7">
        <v>763366</v>
      </c>
      <c r="D3" s="7">
        <f>Table1[[#This Row],[Population projection 2020]]*0.46</f>
        <v>351148.36000000004</v>
      </c>
      <c r="E3" s="7">
        <f>Table1[[#This Row],[Population projection 2020]]*0.54</f>
        <v>412217.64</v>
      </c>
      <c r="F3" s="7">
        <f>Table1[[#This Row],[Population projection 2020]]*0.08</f>
        <v>61069.279999999999</v>
      </c>
      <c r="G3" s="7">
        <f>Table1[[#This Row],[Population projection 2020]]*0.13</f>
        <v>99237.58</v>
      </c>
      <c r="H3" s="7">
        <f>Table1[[#This Row],[Population projection 2020]]*0.46</f>
        <v>351148.36000000004</v>
      </c>
      <c r="I3" s="7">
        <f>Table1[[#This Row],[Female]]*0.56</f>
        <v>230841.87840000002</v>
      </c>
      <c r="J3" s="7">
        <f>Table1[[#This Row],[Male]]*0.54</f>
        <v>189620.11440000005</v>
      </c>
      <c r="K3" s="7">
        <v>32405.515200000002</v>
      </c>
      <c r="L3" s="23">
        <f>SUM(Table1[[#This Row],[IDPs / Migrants Male]:[IDPs / Migrants Female]])</f>
        <v>0</v>
      </c>
      <c r="M3" s="7"/>
      <c r="N3" s="7"/>
      <c r="O3" s="7">
        <v>2713</v>
      </c>
      <c r="P3" s="7">
        <v>1505</v>
      </c>
      <c r="Q3" s="7">
        <v>1208</v>
      </c>
      <c r="R3" s="7"/>
      <c r="S3" s="7">
        <f>Table1[[#This Row],[Population projection 2020]]*0.07</f>
        <v>53435.62</v>
      </c>
    </row>
    <row r="4" spans="1:19" x14ac:dyDescent="0.2">
      <c r="A4" s="3" t="s">
        <v>104</v>
      </c>
      <c r="B4" s="3" t="s">
        <v>104</v>
      </c>
      <c r="C4" s="7">
        <v>1035.4577840894306</v>
      </c>
      <c r="D4" s="7">
        <f>Table1[[#This Row],[Population projection 2020]]*0.47</f>
        <v>486.66515852203236</v>
      </c>
      <c r="E4" s="7">
        <f>Table1[[#This Row],[Population projection 2020]]*0.53</f>
        <v>548.7926255673982</v>
      </c>
      <c r="F4" s="7">
        <f>Table1[[#This Row],[Population projection 2020]]*0.08</f>
        <v>82.836622727154449</v>
      </c>
      <c r="G4" s="7">
        <f>Table1[[#This Row],[Population projection 2020]]*0.16</f>
        <v>165.6732454543089</v>
      </c>
      <c r="H4" s="7">
        <f>Table1[[#This Row],[Population projection 2020]]*0.56</f>
        <v>579.85635909008113</v>
      </c>
      <c r="I4" s="7">
        <f>Table1[[#This Row],[Female]]*0.44</f>
        <v>241.4687552496552</v>
      </c>
      <c r="J4" s="7">
        <f>Table1[[#This Row],[Male]]*0.41</f>
        <v>199.53271499403326</v>
      </c>
      <c r="K4" s="7">
        <f>Table1[[#This Row],[Population projection 2020]]*0.05</f>
        <v>51.772889204471532</v>
      </c>
      <c r="L4" s="23">
        <f>SUM(Table1[[#This Row],[IDPs / Migrants Male]:[IDPs / Migrants Female]])</f>
        <v>0</v>
      </c>
      <c r="M4" s="7"/>
      <c r="N4" s="7"/>
      <c r="O4" s="7"/>
      <c r="P4" s="7"/>
      <c r="Q4" s="7"/>
      <c r="R4" s="7"/>
      <c r="S4" s="7">
        <f>Table1[[#This Row],[Population projection 2020]]*0.07</f>
        <v>72.482044886260141</v>
      </c>
    </row>
    <row r="5" spans="1:19" x14ac:dyDescent="0.2">
      <c r="A5" s="3" t="s">
        <v>84</v>
      </c>
      <c r="B5" s="3" t="s">
        <v>85</v>
      </c>
      <c r="C5" s="7">
        <v>472473.17431040556</v>
      </c>
      <c r="D5" s="7">
        <f>Table1[[#This Row],[Population projection 2020]]*0.48</f>
        <v>226787.12366899467</v>
      </c>
      <c r="E5" s="7">
        <f>Table1[[#This Row],[Population projection 2020]]*0.52</f>
        <v>245686.0506414109</v>
      </c>
      <c r="F5" s="7">
        <f>Table1[[#This Row],[Population projection 2020]]*0.08</f>
        <v>37797.853944832445</v>
      </c>
      <c r="G5" s="7">
        <f>Table1[[#This Row],[Population projection 2020]]*0.14</f>
        <v>66146.244403456789</v>
      </c>
      <c r="H5" s="7">
        <f>Table1[[#This Row],[Population projection 2020]]*0.45</f>
        <v>212612.9284396825</v>
      </c>
      <c r="I5" s="7">
        <f>Table1[[#This Row],[Female]]*0.58</f>
        <v>142497.9093720183</v>
      </c>
      <c r="J5" s="7">
        <f>Table1[[#This Row],[Male]]*0.58</f>
        <v>131536.53172801691</v>
      </c>
      <c r="K5" s="7">
        <f>Table1[[#This Row],[Population projection 2020]]*0.02</f>
        <v>9449.4634862081111</v>
      </c>
      <c r="L5" s="23">
        <f>SUM(Table1[[#This Row],[IDPs / Migrants Male]:[IDPs / Migrants Female]])</f>
        <v>0</v>
      </c>
      <c r="M5" s="7"/>
      <c r="N5" s="7"/>
      <c r="O5" s="7"/>
      <c r="P5" s="7"/>
      <c r="Q5" s="7"/>
      <c r="R5" s="7"/>
      <c r="S5" s="7">
        <f>Table1[[#This Row],[Population projection 2020]]*0.07</f>
        <v>33073.122201728394</v>
      </c>
    </row>
    <row r="6" spans="1:19" x14ac:dyDescent="0.2">
      <c r="A6" s="3" t="s">
        <v>84</v>
      </c>
      <c r="B6" s="3" t="s">
        <v>86</v>
      </c>
      <c r="C6" s="7">
        <v>221727.67267225965</v>
      </c>
      <c r="D6" s="7">
        <f>Table1[[#This Row],[Population projection 2020]]*0.48</f>
        <v>106429.28288268462</v>
      </c>
      <c r="E6" s="7">
        <f>Table1[[#This Row],[Population projection 2020]]*0.52</f>
        <v>115298.38978957503</v>
      </c>
      <c r="F6" s="7">
        <f>Table1[[#This Row],[Population projection 2020]]*0.08</f>
        <v>17738.213813780774</v>
      </c>
      <c r="G6" s="7">
        <f>Table1[[#This Row],[Population projection 2020]]*0.14</f>
        <v>31041.874174116354</v>
      </c>
      <c r="H6" s="7">
        <f>Table1[[#This Row],[Population projection 2020]]*0.45</f>
        <v>99777.45270251685</v>
      </c>
      <c r="I6" s="7">
        <f>Table1[[#This Row],[Female]]*0.58</f>
        <v>66873.06607795351</v>
      </c>
      <c r="J6" s="7">
        <f>Table1[[#This Row],[Male]]*0.58</f>
        <v>61728.984071957078</v>
      </c>
      <c r="K6" s="7">
        <f>Table1[[#This Row],[Population projection 2020]]*0.02</f>
        <v>4434.5534534451936</v>
      </c>
      <c r="L6" s="23">
        <f>SUM(Table1[[#This Row],[IDPs / Migrants Male]:[IDPs / Migrants Female]])</f>
        <v>0</v>
      </c>
      <c r="M6" s="7"/>
      <c r="N6" s="7"/>
      <c r="O6" s="7"/>
      <c r="P6" s="7"/>
      <c r="Q6" s="7"/>
      <c r="R6" s="7"/>
      <c r="S6" s="7">
        <f>Table1[[#This Row],[Population projection 2020]]*0.07</f>
        <v>15520.937087058177</v>
      </c>
    </row>
    <row r="7" spans="1:19" x14ac:dyDescent="0.2">
      <c r="A7" s="3" t="s">
        <v>84</v>
      </c>
      <c r="B7" s="3" t="s">
        <v>84</v>
      </c>
      <c r="C7" s="7">
        <v>1966516.6605599653</v>
      </c>
      <c r="D7" s="7">
        <f>Table1[[#This Row],[Population projection 2020]]*0.48</f>
        <v>943927.99706878327</v>
      </c>
      <c r="E7" s="7">
        <f>Table1[[#This Row],[Population projection 2020]]*0.52</f>
        <v>1022588.663491182</v>
      </c>
      <c r="F7" s="7">
        <f>Table1[[#This Row],[Population projection 2020]]*0.08</f>
        <v>157321.33284479723</v>
      </c>
      <c r="G7" s="7">
        <f>Table1[[#This Row],[Population projection 2020]]*0.14</f>
        <v>275312.33247839514</v>
      </c>
      <c r="H7" s="7">
        <f>Table1[[#This Row],[Population projection 2020]]*0.45</f>
        <v>884932.49725198443</v>
      </c>
      <c r="I7" s="7">
        <f>Table1[[#This Row],[Female]]*0.58</f>
        <v>593101.42482488556</v>
      </c>
      <c r="J7" s="7">
        <f>Table1[[#This Row],[Male]]*0.58</f>
        <v>547478.23829989426</v>
      </c>
      <c r="K7" s="7">
        <f>Table1[[#This Row],[Population projection 2020]]*0.02</f>
        <v>39330.333211199308</v>
      </c>
      <c r="L7" s="23">
        <f>SUM(Table1[[#This Row],[IDPs / Migrants Male]:[IDPs / Migrants Female]])</f>
        <v>0</v>
      </c>
      <c r="M7" s="7"/>
      <c r="N7" s="7"/>
      <c r="O7" s="7">
        <v>5646</v>
      </c>
      <c r="P7" s="7">
        <v>2710</v>
      </c>
      <c r="Q7" s="7">
        <v>2936</v>
      </c>
      <c r="R7" s="7">
        <v>829</v>
      </c>
      <c r="S7" s="7">
        <f>Table1[[#This Row],[Population projection 2020]]*0.07</f>
        <v>137656.16623919757</v>
      </c>
    </row>
    <row r="8" spans="1:19" x14ac:dyDescent="0.2">
      <c r="A8" s="3" t="s">
        <v>84</v>
      </c>
      <c r="B8" s="3" t="s">
        <v>87</v>
      </c>
      <c r="C8" s="7">
        <v>150410.49245736958</v>
      </c>
      <c r="D8" s="7">
        <f>Table1[[#This Row],[Population projection 2020]]*0.48</f>
        <v>72197.0363795374</v>
      </c>
      <c r="E8" s="7">
        <f>Table1[[#This Row],[Population projection 2020]]*0.52</f>
        <v>78213.456077832176</v>
      </c>
      <c r="F8" s="7">
        <f>Table1[[#This Row],[Population projection 2020]]*0.08</f>
        <v>12032.839396589567</v>
      </c>
      <c r="G8" s="7">
        <f>Table1[[#This Row],[Population projection 2020]]*0.14</f>
        <v>21057.468944031742</v>
      </c>
      <c r="H8" s="7">
        <f>Table1[[#This Row],[Population projection 2020]]*0.45</f>
        <v>67684.721605816318</v>
      </c>
      <c r="I8" s="7">
        <f>Table1[[#This Row],[Female]]*0.58</f>
        <v>45363.804525142659</v>
      </c>
      <c r="J8" s="7">
        <f>Table1[[#This Row],[Male]]*0.58</f>
        <v>41874.281100131688</v>
      </c>
      <c r="K8" s="7">
        <f>Table1[[#This Row],[Population projection 2020]]*0.02</f>
        <v>3008.2098491473917</v>
      </c>
      <c r="L8" s="23">
        <f>SUM(Table1[[#This Row],[IDPs / Migrants Male]:[IDPs / Migrants Female]])</f>
        <v>0</v>
      </c>
      <c r="M8" s="7"/>
      <c r="N8" s="7"/>
      <c r="O8" s="7"/>
      <c r="P8" s="7"/>
      <c r="Q8" s="7"/>
      <c r="R8" s="7"/>
      <c r="S8" s="7">
        <f>Table1[[#This Row],[Population projection 2020]]*0.07</f>
        <v>10528.734472015871</v>
      </c>
    </row>
    <row r="9" spans="1:19" x14ac:dyDescent="0.2">
      <c r="A9" s="3" t="s">
        <v>6</v>
      </c>
      <c r="B9" s="3" t="s">
        <v>7</v>
      </c>
      <c r="C9" s="7">
        <v>287264.58794954978</v>
      </c>
      <c r="D9" s="7">
        <f>Table1[[#This Row],[Population projection 2020]]*0.47</f>
        <v>135014.35633628839</v>
      </c>
      <c r="E9" s="7">
        <f>Table1[[#This Row],[Population projection 2020]]*0.53</f>
        <v>152250.23161326139</v>
      </c>
      <c r="F9" s="7">
        <f>Table1[[#This Row],[Population projection 2020]]*0.08</f>
        <v>22981.167035963983</v>
      </c>
      <c r="G9" s="7">
        <f>Table1[[#This Row],[Population projection 2020]]*0.16</f>
        <v>45962.334071927966</v>
      </c>
      <c r="H9" s="7">
        <f>Table1[[#This Row],[Population projection 2020]]*0.55</f>
        <v>157995.52337225238</v>
      </c>
      <c r="I9" s="7">
        <f>Table1[[#This Row],[Female]]*0.44</f>
        <v>66990.101909835008</v>
      </c>
      <c r="J9" s="7">
        <f>Table1[[#This Row],[Male]]*0.44</f>
        <v>59406.316787966891</v>
      </c>
      <c r="K9" s="7">
        <f>Table1[[#This Row],[Population projection 2020]]*0.05</f>
        <v>14363.229397477489</v>
      </c>
      <c r="L9" s="23">
        <f>SUM(Table1[[#This Row],[IDPs / Migrants Male]:[IDPs / Migrants Female]])</f>
        <v>2151</v>
      </c>
      <c r="M9" s="7">
        <v>997</v>
      </c>
      <c r="N9" s="7">
        <v>1154</v>
      </c>
      <c r="O9" s="7"/>
      <c r="P9" s="7"/>
      <c r="Q9" s="7"/>
      <c r="R9" s="7"/>
      <c r="S9" s="7">
        <f>Table1[[#This Row],[Population projection 2020]]*0.07</f>
        <v>20108.521156468487</v>
      </c>
    </row>
    <row r="10" spans="1:19" x14ac:dyDescent="0.2">
      <c r="A10" s="3" t="s">
        <v>6</v>
      </c>
      <c r="B10" s="3" t="s">
        <v>8</v>
      </c>
      <c r="C10" s="7">
        <v>157653.32196419462</v>
      </c>
      <c r="D10" s="7">
        <f>Table1[[#This Row],[Population projection 2020]]*0.47</f>
        <v>74097.061323171467</v>
      </c>
      <c r="E10" s="7">
        <f>Table1[[#This Row],[Population projection 2020]]*0.53</f>
        <v>83556.260641023153</v>
      </c>
      <c r="F10" s="7">
        <f>Table1[[#This Row],[Population projection 2020]]*0.08</f>
        <v>12612.26575713557</v>
      </c>
      <c r="G10" s="7">
        <f>Table1[[#This Row],[Population projection 2020]]*0.16</f>
        <v>25224.531514271141</v>
      </c>
      <c r="H10" s="7">
        <f>Table1[[#This Row],[Population projection 2020]]*0.55</f>
        <v>86709.327080307048</v>
      </c>
      <c r="I10" s="7">
        <f>Table1[[#This Row],[Female]]*0.44</f>
        <v>36764.754682050188</v>
      </c>
      <c r="J10" s="7">
        <f>Table1[[#This Row],[Male]]*0.44</f>
        <v>32602.706982195446</v>
      </c>
      <c r="K10" s="7">
        <f>Table1[[#This Row],[Population projection 2020]]*0.05</f>
        <v>7882.666098209731</v>
      </c>
      <c r="L10" s="23">
        <f>SUM(Table1[[#This Row],[IDPs / Migrants Male]:[IDPs / Migrants Female]])</f>
        <v>4048</v>
      </c>
      <c r="M10" s="7">
        <v>1639</v>
      </c>
      <c r="N10" s="7">
        <v>2409</v>
      </c>
      <c r="O10" s="7"/>
      <c r="P10" s="7"/>
      <c r="Q10" s="7"/>
      <c r="R10" s="7"/>
      <c r="S10" s="7">
        <f>Table1[[#This Row],[Population projection 2020]]*0.07</f>
        <v>11035.732537493624</v>
      </c>
    </row>
    <row r="11" spans="1:19" x14ac:dyDescent="0.2">
      <c r="A11" s="3" t="s">
        <v>6</v>
      </c>
      <c r="B11" s="3" t="s">
        <v>89</v>
      </c>
      <c r="C11" s="7">
        <v>349142.40691493911</v>
      </c>
      <c r="D11" s="7">
        <f>Table1[[#This Row],[Population projection 2020]]*0.47</f>
        <v>164096.93125002139</v>
      </c>
      <c r="E11" s="7">
        <f>Table1[[#This Row],[Population projection 2020]]*0.53</f>
        <v>185045.47566491773</v>
      </c>
      <c r="F11" s="7">
        <f>Table1[[#This Row],[Population projection 2020]]*0.08</f>
        <v>27931.392553195128</v>
      </c>
      <c r="G11" s="7">
        <f>Table1[[#This Row],[Population projection 2020]]*0.16</f>
        <v>55862.785106390256</v>
      </c>
      <c r="H11" s="7">
        <f>Table1[[#This Row],[Population projection 2020]]*0.55</f>
        <v>192028.32380321654</v>
      </c>
      <c r="I11" s="7">
        <f>Table1[[#This Row],[Female]]*0.44</f>
        <v>81420.009292563802</v>
      </c>
      <c r="J11" s="7">
        <f>Table1[[#This Row],[Male]]*0.44</f>
        <v>72202.649750009412</v>
      </c>
      <c r="K11" s="7">
        <f>Table1[[#This Row],[Population projection 2020]]*0.05</f>
        <v>17457.120345746956</v>
      </c>
      <c r="L11" s="23">
        <f>SUM(Table1[[#This Row],[IDPs / Migrants Male]:[IDPs / Migrants Female]])</f>
        <v>14344</v>
      </c>
      <c r="M11" s="7">
        <v>5580</v>
      </c>
      <c r="N11" s="7">
        <v>8764</v>
      </c>
      <c r="O11" s="7">
        <v>1051</v>
      </c>
      <c r="P11" s="7">
        <v>723</v>
      </c>
      <c r="Q11" s="7">
        <v>1774</v>
      </c>
      <c r="R11" s="7">
        <v>14576</v>
      </c>
      <c r="S11" s="7">
        <f>Table1[[#This Row],[Population projection 2020]]*0.07</f>
        <v>24439.968484045741</v>
      </c>
    </row>
    <row r="12" spans="1:19" x14ac:dyDescent="0.2">
      <c r="A12" s="3" t="s">
        <v>6</v>
      </c>
      <c r="B12" s="3" t="s">
        <v>14</v>
      </c>
      <c r="C12" s="7">
        <v>29549.190893125913</v>
      </c>
      <c r="D12" s="7">
        <f>Table1[[#This Row],[Population projection 2020]]*0.47</f>
        <v>13888.119719769178</v>
      </c>
      <c r="E12" s="7">
        <f>Table1[[#This Row],[Population projection 2020]]*0.53</f>
        <v>15661.071173356735</v>
      </c>
      <c r="F12" s="7">
        <f>Table1[[#This Row],[Population projection 2020]]*0.08</f>
        <v>2363.9352714500733</v>
      </c>
      <c r="G12" s="7">
        <f>Table1[[#This Row],[Population projection 2020]]*0.16</f>
        <v>4727.8705429001466</v>
      </c>
      <c r="H12" s="7">
        <f>Table1[[#This Row],[Population projection 2020]]*0.55</f>
        <v>16252.054991219253</v>
      </c>
      <c r="I12" s="7">
        <f>Table1[[#This Row],[Female]]*0.44</f>
        <v>6890.8713162769636</v>
      </c>
      <c r="J12" s="7">
        <f>Table1[[#This Row],[Male]]*0.44</f>
        <v>6110.7726766984388</v>
      </c>
      <c r="K12" s="7">
        <f>Table1[[#This Row],[Population projection 2020]]*0.05</f>
        <v>1477.4595446562957</v>
      </c>
      <c r="L12" s="23">
        <f>SUM(Table1[[#This Row],[IDPs / Migrants Male]:[IDPs / Migrants Female]])</f>
        <v>0</v>
      </c>
      <c r="M12" s="7"/>
      <c r="N12" s="7"/>
      <c r="O12" s="7"/>
      <c r="P12" s="7"/>
      <c r="Q12" s="7"/>
      <c r="R12" s="7"/>
      <c r="S12" s="7">
        <f>Table1[[#This Row],[Population projection 2020]]*0.07</f>
        <v>2068.443362518814</v>
      </c>
    </row>
    <row r="13" spans="1:19" x14ac:dyDescent="0.2">
      <c r="A13" s="3" t="s">
        <v>6</v>
      </c>
      <c r="B13" s="3" t="s">
        <v>9</v>
      </c>
      <c r="C13" s="7">
        <v>318180.71516028431</v>
      </c>
      <c r="D13" s="7">
        <f>Table1[[#This Row],[Population projection 2020]]*0.47</f>
        <v>149544.93612533362</v>
      </c>
      <c r="E13" s="7">
        <f>Table1[[#This Row],[Population projection 2020]]*0.53</f>
        <v>168635.77903495068</v>
      </c>
      <c r="F13" s="7">
        <f>Table1[[#This Row],[Population projection 2020]]*0.08</f>
        <v>25454.457212822745</v>
      </c>
      <c r="G13" s="7">
        <f>Table1[[#This Row],[Population projection 2020]]*0.16</f>
        <v>50908.914425645489</v>
      </c>
      <c r="H13" s="7">
        <f>Table1[[#This Row],[Population projection 2020]]*0.55</f>
        <v>174999.39333815637</v>
      </c>
      <c r="I13" s="7">
        <f>Table1[[#This Row],[Female]]*0.44</f>
        <v>74199.742775378298</v>
      </c>
      <c r="J13" s="7">
        <f>Table1[[#This Row],[Male]]*0.44</f>
        <v>65799.771895146798</v>
      </c>
      <c r="K13" s="7">
        <f>Table1[[#This Row],[Population projection 2020]]*0.05</f>
        <v>15909.035758014215</v>
      </c>
      <c r="L13" s="23">
        <f>SUM(Table1[[#This Row],[IDPs / Migrants Male]:[IDPs / Migrants Female]])</f>
        <v>355</v>
      </c>
      <c r="M13" s="7">
        <v>117</v>
      </c>
      <c r="N13" s="7">
        <v>238</v>
      </c>
      <c r="O13" s="7"/>
      <c r="P13" s="7"/>
      <c r="Q13" s="7"/>
      <c r="R13" s="7"/>
      <c r="S13" s="7">
        <f>Table1[[#This Row],[Population projection 2020]]*0.07</f>
        <v>22272.650061219905</v>
      </c>
    </row>
    <row r="14" spans="1:19" x14ac:dyDescent="0.2">
      <c r="A14" s="3" t="s">
        <v>6</v>
      </c>
      <c r="B14" s="3" t="s">
        <v>88</v>
      </c>
      <c r="C14" s="7">
        <v>306245.14129644696</v>
      </c>
      <c r="D14" s="7">
        <f>Table1[[#This Row],[Population projection 2020]]*0.47</f>
        <v>143935.21640933005</v>
      </c>
      <c r="E14" s="7">
        <f>Table1[[#This Row],[Population projection 2020]]*0.53</f>
        <v>162309.92488711691</v>
      </c>
      <c r="F14" s="7">
        <f>Table1[[#This Row],[Population projection 2020]]*0.08</f>
        <v>24499.611303715759</v>
      </c>
      <c r="G14" s="7">
        <f>Table1[[#This Row],[Population projection 2020]]*0.16</f>
        <v>48999.222607431519</v>
      </c>
      <c r="H14" s="7">
        <f>Table1[[#This Row],[Population projection 2020]]*0.55</f>
        <v>168434.82771304584</v>
      </c>
      <c r="I14" s="7">
        <f>Table1[[#This Row],[Female]]*0.44</f>
        <v>71416.366950331445</v>
      </c>
      <c r="J14" s="7">
        <f>Table1[[#This Row],[Male]]*0.44</f>
        <v>63331.495220105222</v>
      </c>
      <c r="K14" s="7">
        <f>Table1[[#This Row],[Population projection 2020]]*0.05</f>
        <v>15312.257064822348</v>
      </c>
      <c r="L14" s="23">
        <f>SUM(Table1[[#This Row],[IDPs / Migrants Male]:[IDPs / Migrants Female]])</f>
        <v>2668</v>
      </c>
      <c r="M14" s="7">
        <v>931</v>
      </c>
      <c r="N14" s="7">
        <v>1737</v>
      </c>
      <c r="O14" s="7"/>
      <c r="P14" s="7"/>
      <c r="Q14" s="7"/>
      <c r="R14" s="7"/>
      <c r="S14" s="7">
        <f>Table1[[#This Row],[Population projection 2020]]*0.07</f>
        <v>21437.159890751289</v>
      </c>
    </row>
    <row r="15" spans="1:19" x14ac:dyDescent="0.2">
      <c r="A15" s="3" t="s">
        <v>6</v>
      </c>
      <c r="B15" s="3" t="s">
        <v>12</v>
      </c>
      <c r="C15" s="7">
        <v>219201.67422739117</v>
      </c>
      <c r="D15" s="7">
        <f>Table1[[#This Row],[Population projection 2020]]*0.47</f>
        <v>103024.78688687384</v>
      </c>
      <c r="E15" s="7">
        <f>Table1[[#This Row],[Population projection 2020]]*0.53</f>
        <v>116176.88734051732</v>
      </c>
      <c r="F15" s="7">
        <f>Table1[[#This Row],[Population projection 2020]]*0.08</f>
        <v>17536.133938191295</v>
      </c>
      <c r="G15" s="7">
        <f>Table1[[#This Row],[Population projection 2020]]*0.16</f>
        <v>35072.26787638259</v>
      </c>
      <c r="H15" s="7">
        <f>Table1[[#This Row],[Population projection 2020]]*0.55</f>
        <v>120560.92082506516</v>
      </c>
      <c r="I15" s="7">
        <f>Table1[[#This Row],[Female]]*0.44</f>
        <v>51117.83042982762</v>
      </c>
      <c r="J15" s="7">
        <f>Table1[[#This Row],[Male]]*0.44</f>
        <v>45330.906230224493</v>
      </c>
      <c r="K15" s="7">
        <f>Table1[[#This Row],[Population projection 2020]]*0.05</f>
        <v>10960.08371136956</v>
      </c>
      <c r="L15" s="23">
        <f>SUM(Table1[[#This Row],[IDPs / Migrants Male]:[IDPs / Migrants Female]])</f>
        <v>0</v>
      </c>
      <c r="M15" s="7"/>
      <c r="N15" s="7"/>
      <c r="O15" s="7"/>
      <c r="P15" s="7"/>
      <c r="Q15" s="7"/>
      <c r="R15" s="7"/>
      <c r="S15" s="7">
        <f>Table1[[#This Row],[Population projection 2020]]*0.07</f>
        <v>15344.117195917383</v>
      </c>
    </row>
    <row r="16" spans="1:19" x14ac:dyDescent="0.2">
      <c r="A16" s="3" t="s">
        <v>6</v>
      </c>
      <c r="B16" s="3" t="s">
        <v>10</v>
      </c>
      <c r="C16" s="7">
        <v>197150.77161324999</v>
      </c>
      <c r="D16" s="7">
        <f>Table1[[#This Row],[Population projection 2020]]*0.47</f>
        <v>92660.862658227488</v>
      </c>
      <c r="E16" s="7">
        <f>Table1[[#This Row],[Population projection 2020]]*0.53</f>
        <v>104489.9089550225</v>
      </c>
      <c r="F16" s="7">
        <f>Table1[[#This Row],[Population projection 2020]]*0.08</f>
        <v>15772.06172906</v>
      </c>
      <c r="G16" s="7">
        <f>Table1[[#This Row],[Population projection 2020]]*0.16</f>
        <v>31544.123458120001</v>
      </c>
      <c r="H16" s="7">
        <f>Table1[[#This Row],[Population projection 2020]]*0.55</f>
        <v>108432.92438728751</v>
      </c>
      <c r="I16" s="7">
        <f>Table1[[#This Row],[Female]]*0.44</f>
        <v>45975.559940209903</v>
      </c>
      <c r="J16" s="7">
        <f>Table1[[#This Row],[Male]]*0.44</f>
        <v>40770.779569620092</v>
      </c>
      <c r="K16" s="7">
        <f>Table1[[#This Row],[Population projection 2020]]*0.05</f>
        <v>9857.5385806625</v>
      </c>
      <c r="L16" s="23">
        <f>SUM(Table1[[#This Row],[IDPs / Migrants Male]:[IDPs / Migrants Female]])</f>
        <v>291</v>
      </c>
      <c r="M16" s="7">
        <v>122</v>
      </c>
      <c r="N16" s="7">
        <v>169</v>
      </c>
      <c r="O16" s="7"/>
      <c r="P16" s="7"/>
      <c r="Q16" s="7"/>
      <c r="R16" s="7"/>
      <c r="S16" s="7">
        <f>Table1[[#This Row],[Population projection 2020]]*0.07</f>
        <v>13800.554012927501</v>
      </c>
    </row>
    <row r="17" spans="1:19" x14ac:dyDescent="0.2">
      <c r="A17" s="3" t="s">
        <v>6</v>
      </c>
      <c r="B17" s="3" t="s">
        <v>11</v>
      </c>
      <c r="C17" s="7">
        <v>147908.351173448</v>
      </c>
      <c r="D17" s="7">
        <f>Table1[[#This Row],[Population projection 2020]]*0.47</f>
        <v>69516.925051520549</v>
      </c>
      <c r="E17" s="7">
        <f>Table1[[#This Row],[Population projection 2020]]*0.53</f>
        <v>78391.426121927449</v>
      </c>
      <c r="F17" s="7">
        <f>Table1[[#This Row],[Population projection 2020]]*0.08</f>
        <v>11832.66809387584</v>
      </c>
      <c r="G17" s="7">
        <f>Table1[[#This Row],[Population projection 2020]]*0.16</f>
        <v>23665.33618775168</v>
      </c>
      <c r="H17" s="7">
        <f>Table1[[#This Row],[Population projection 2020]]*0.55</f>
        <v>81349.5931453964</v>
      </c>
      <c r="I17" s="7">
        <f>Table1[[#This Row],[Female]]*0.44</f>
        <v>34492.227493648075</v>
      </c>
      <c r="J17" s="7">
        <f>Table1[[#This Row],[Male]]*0.44</f>
        <v>30587.447022669043</v>
      </c>
      <c r="K17" s="7">
        <f>Table1[[#This Row],[Population projection 2020]]*0.05</f>
        <v>7395.4175586724004</v>
      </c>
      <c r="L17" s="23">
        <f>SUM(Table1[[#This Row],[IDPs / Migrants Male]:[IDPs / Migrants Female]])</f>
        <v>150</v>
      </c>
      <c r="M17" s="7">
        <v>72</v>
      </c>
      <c r="N17" s="7">
        <v>78</v>
      </c>
      <c r="O17" s="7"/>
      <c r="P17" s="7"/>
      <c r="Q17" s="7"/>
      <c r="R17" s="7"/>
      <c r="S17" s="7">
        <f>Table1[[#This Row],[Population projection 2020]]*0.07</f>
        <v>10353.58458214136</v>
      </c>
    </row>
    <row r="18" spans="1:19" x14ac:dyDescent="0.2">
      <c r="A18" s="3" t="s">
        <v>6</v>
      </c>
      <c r="B18" s="3" t="s">
        <v>13</v>
      </c>
      <c r="C18" s="7">
        <v>35418.838807370121</v>
      </c>
      <c r="D18" s="7">
        <f>Table1[[#This Row],[Population projection 2020]]*0.47</f>
        <v>16646.854239463955</v>
      </c>
      <c r="E18" s="7">
        <f>Table1[[#This Row],[Population projection 2020]]*0.53</f>
        <v>18771.984567906165</v>
      </c>
      <c r="F18" s="7">
        <f>Table1[[#This Row],[Population projection 2020]]*0.08</f>
        <v>2833.5071045896098</v>
      </c>
      <c r="G18" s="7">
        <f>Table1[[#This Row],[Population projection 2020]]*0.16</f>
        <v>5667.0142091792195</v>
      </c>
      <c r="H18" s="7">
        <f>Table1[[#This Row],[Population projection 2020]]*0.55</f>
        <v>19480.361344053566</v>
      </c>
      <c r="I18" s="7">
        <f>Table1[[#This Row],[Female]]*0.44</f>
        <v>8259.6732098787124</v>
      </c>
      <c r="J18" s="7">
        <f>Table1[[#This Row],[Male]]*0.44</f>
        <v>7324.6158653641405</v>
      </c>
      <c r="K18" s="7">
        <f>Table1[[#This Row],[Population projection 2020]]*0.05</f>
        <v>1770.941940368506</v>
      </c>
      <c r="L18" s="23">
        <f>SUM(Table1[[#This Row],[IDPs / Migrants Male]:[IDPs / Migrants Female]])</f>
        <v>0</v>
      </c>
      <c r="M18" s="7"/>
      <c r="N18" s="7"/>
      <c r="O18" s="7"/>
      <c r="P18" s="7"/>
      <c r="Q18" s="7"/>
      <c r="R18" s="7"/>
      <c r="S18" s="7">
        <f>Table1[[#This Row],[Population projection 2020]]*0.07</f>
        <v>2479.3187165159088</v>
      </c>
    </row>
    <row r="19" spans="1:19" x14ac:dyDescent="0.2">
      <c r="A19" s="3" t="s">
        <v>15</v>
      </c>
      <c r="B19" s="3" t="s">
        <v>90</v>
      </c>
      <c r="C19" s="7">
        <v>159223.21835976816</v>
      </c>
      <c r="D19" s="7">
        <f>Table1[[#This Row],[Population projection 2020]]*0.49</f>
        <v>78019.376996286403</v>
      </c>
      <c r="E19" s="7">
        <f>Table1[[#This Row],[Population projection 2020]]*0.51</f>
        <v>81203.841363481755</v>
      </c>
      <c r="F19" s="7">
        <f>Table1[[#This Row],[Population projection 2020]]*0.08</f>
        <v>12737.857468781453</v>
      </c>
      <c r="G19" s="7">
        <f>Table1[[#This Row],[Population projection 2020]]*0.16</f>
        <v>25475.714937562905</v>
      </c>
      <c r="H19" s="7">
        <f>Table1[[#This Row],[Population projection 2020]]*0.53</f>
        <v>84388.305730677122</v>
      </c>
      <c r="I19" s="7">
        <f>Table1[[#This Row],[Female]]*0.46</f>
        <v>37353.767027201611</v>
      </c>
      <c r="J19" s="7">
        <f>Table1[[#This Row],[Male]]*0.47</f>
        <v>36669.107188254609</v>
      </c>
      <c r="K19" s="7">
        <f>Table1[[#This Row],[Population projection 2020]]*0.04</f>
        <v>6368.9287343907263</v>
      </c>
      <c r="L19" s="23">
        <f>SUM(Table1[[#This Row],[IDPs / Migrants Male]:[IDPs / Migrants Female]])</f>
        <v>0</v>
      </c>
      <c r="M19" s="7"/>
      <c r="N19" s="7"/>
      <c r="O19" s="7">
        <v>225</v>
      </c>
      <c r="P19" s="7">
        <v>94</v>
      </c>
      <c r="Q19" s="7">
        <v>131</v>
      </c>
      <c r="R19" s="7"/>
      <c r="S19" s="7">
        <f>Table1[[#This Row],[Population projection 2020]]*0.07</f>
        <v>11145.625285183773</v>
      </c>
    </row>
    <row r="20" spans="1:19" x14ac:dyDescent="0.2">
      <c r="A20" s="3" t="s">
        <v>15</v>
      </c>
      <c r="B20" s="3" t="s">
        <v>24</v>
      </c>
      <c r="C20" s="7">
        <v>55535.29465866102</v>
      </c>
      <c r="D20" s="7">
        <f>Table1[[#This Row],[Population projection 2020]]*0.49</f>
        <v>27212.294382743898</v>
      </c>
      <c r="E20" s="7">
        <f>Table1[[#This Row],[Population projection 2020]]*0.51</f>
        <v>28323.000275917122</v>
      </c>
      <c r="F20" s="7">
        <f>Table1[[#This Row],[Population projection 2020]]*0.08</f>
        <v>4442.8235726928815</v>
      </c>
      <c r="G20" s="7">
        <f>Table1[[#This Row],[Population projection 2020]]*0.16</f>
        <v>8885.647145385763</v>
      </c>
      <c r="H20" s="7">
        <f>Table1[[#This Row],[Population projection 2020]]*0.53</f>
        <v>29433.706169090343</v>
      </c>
      <c r="I20" s="7">
        <f>Table1[[#This Row],[Female]]*0.46</f>
        <v>13028.580126921877</v>
      </c>
      <c r="J20" s="7">
        <f>Table1[[#This Row],[Male]]*0.47</f>
        <v>12789.778359889631</v>
      </c>
      <c r="K20" s="7">
        <f>Table1[[#This Row],[Population projection 2020]]*0.04</f>
        <v>2221.4117863464407</v>
      </c>
      <c r="L20" s="23">
        <f>SUM(Table1[[#This Row],[IDPs / Migrants Male]:[IDPs / Migrants Female]])</f>
        <v>0</v>
      </c>
      <c r="M20" s="7"/>
      <c r="N20" s="7"/>
      <c r="O20" s="7"/>
      <c r="P20" s="7"/>
      <c r="Q20" s="7"/>
      <c r="R20" s="7"/>
      <c r="S20" s="7">
        <f>Table1[[#This Row],[Population projection 2020]]*0.07</f>
        <v>3887.4706261062715</v>
      </c>
    </row>
    <row r="21" spans="1:19" x14ac:dyDescent="0.2">
      <c r="A21" s="3" t="s">
        <v>15</v>
      </c>
      <c r="B21" s="3" t="s">
        <v>16</v>
      </c>
      <c r="C21" s="7">
        <v>156135.87559087912</v>
      </c>
      <c r="D21" s="7">
        <f>Table1[[#This Row],[Population projection 2020]]*0.49</f>
        <v>76506.57903953077</v>
      </c>
      <c r="E21" s="7">
        <f>Table1[[#This Row],[Population projection 2020]]*0.51</f>
        <v>79629.29655134835</v>
      </c>
      <c r="F21" s="7">
        <f>Table1[[#This Row],[Population projection 2020]]*0.08</f>
        <v>12490.870047270329</v>
      </c>
      <c r="G21" s="7">
        <f>Table1[[#This Row],[Population projection 2020]]*0.16</f>
        <v>24981.740094540659</v>
      </c>
      <c r="H21" s="7">
        <f>Table1[[#This Row],[Population projection 2020]]*0.53</f>
        <v>82752.014063165945</v>
      </c>
      <c r="I21" s="7">
        <f>Table1[[#This Row],[Female]]*0.46</f>
        <v>36629.476413620243</v>
      </c>
      <c r="J21" s="7">
        <f>Table1[[#This Row],[Male]]*0.47</f>
        <v>35958.092148579461</v>
      </c>
      <c r="K21" s="7">
        <f>Table1[[#This Row],[Population projection 2020]]*0.04</f>
        <v>6245.4350236351647</v>
      </c>
      <c r="L21" s="23">
        <f>SUM(Table1[[#This Row],[IDPs / Migrants Male]:[IDPs / Migrants Female]])</f>
        <v>0</v>
      </c>
      <c r="M21" s="7"/>
      <c r="N21" s="7"/>
      <c r="O21" s="7"/>
      <c r="P21" s="7"/>
      <c r="Q21" s="7"/>
      <c r="R21" s="7"/>
      <c r="S21" s="7">
        <f>Table1[[#This Row],[Population projection 2020]]*0.07</f>
        <v>10929.511291361539</v>
      </c>
    </row>
    <row r="22" spans="1:19" x14ac:dyDescent="0.2">
      <c r="A22" s="3" t="s">
        <v>15</v>
      </c>
      <c r="B22" s="3" t="s">
        <v>17</v>
      </c>
      <c r="C22" s="7">
        <v>157725.3230625065</v>
      </c>
      <c r="D22" s="7">
        <f>Table1[[#This Row],[Population projection 2020]]*0.49</f>
        <v>77285.408300628187</v>
      </c>
      <c r="E22" s="7">
        <f>Table1[[#This Row],[Population projection 2020]]*0.51</f>
        <v>80439.914761878317</v>
      </c>
      <c r="F22" s="7">
        <f>Table1[[#This Row],[Population projection 2020]]*0.08</f>
        <v>12618.02584500052</v>
      </c>
      <c r="G22" s="7">
        <f>Table1[[#This Row],[Population projection 2020]]*0.16</f>
        <v>25236.051690001041</v>
      </c>
      <c r="H22" s="7">
        <f>Table1[[#This Row],[Population projection 2020]]*0.53</f>
        <v>83594.421223128447</v>
      </c>
      <c r="I22" s="7">
        <f>Table1[[#This Row],[Female]]*0.46</f>
        <v>37002.36079046403</v>
      </c>
      <c r="J22" s="7">
        <f>Table1[[#This Row],[Male]]*0.47</f>
        <v>36324.141901295246</v>
      </c>
      <c r="K22" s="7">
        <f>Table1[[#This Row],[Population projection 2020]]*0.04</f>
        <v>6309.0129225002602</v>
      </c>
      <c r="L22" s="23">
        <f>SUM(Table1[[#This Row],[IDPs / Migrants Male]:[IDPs / Migrants Female]])</f>
        <v>0</v>
      </c>
      <c r="M22" s="7"/>
      <c r="N22" s="7"/>
      <c r="O22" s="7"/>
      <c r="P22" s="7"/>
      <c r="Q22" s="7"/>
      <c r="R22" s="7"/>
      <c r="S22" s="7">
        <f>Table1[[#This Row],[Population projection 2020]]*0.07</f>
        <v>11040.772614375457</v>
      </c>
    </row>
    <row r="23" spans="1:19" x14ac:dyDescent="0.2">
      <c r="A23" s="3" t="s">
        <v>15</v>
      </c>
      <c r="B23" s="3" t="s">
        <v>18</v>
      </c>
      <c r="C23" s="7">
        <v>296845.20980113145</v>
      </c>
      <c r="D23" s="7">
        <f>Table1[[#This Row],[Population projection 2020]]*0.49</f>
        <v>145454.1528025544</v>
      </c>
      <c r="E23" s="7">
        <f>Table1[[#This Row],[Population projection 2020]]*0.51</f>
        <v>151391.05699857706</v>
      </c>
      <c r="F23" s="7">
        <f>Table1[[#This Row],[Population projection 2020]]*0.08</f>
        <v>23747.616784090518</v>
      </c>
      <c r="G23" s="7">
        <f>Table1[[#This Row],[Population projection 2020]]*0.16</f>
        <v>47495.233568181036</v>
      </c>
      <c r="H23" s="7">
        <f>Table1[[#This Row],[Population projection 2020]]*0.53</f>
        <v>157327.96119459969</v>
      </c>
      <c r="I23" s="7">
        <f>Table1[[#This Row],[Female]]*0.46</f>
        <v>69639.886219345455</v>
      </c>
      <c r="J23" s="7">
        <f>Table1[[#This Row],[Male]]*0.47</f>
        <v>68363.451817200563</v>
      </c>
      <c r="K23" s="7">
        <f>Table1[[#This Row],[Population projection 2020]]*0.04</f>
        <v>11873.808392045259</v>
      </c>
      <c r="L23" s="23">
        <f>SUM(Table1[[#This Row],[IDPs / Migrants Male]:[IDPs / Migrants Female]])</f>
        <v>0</v>
      </c>
      <c r="M23" s="7"/>
      <c r="N23" s="7"/>
      <c r="O23" s="7"/>
      <c r="P23" s="7"/>
      <c r="Q23" s="7"/>
      <c r="R23" s="7"/>
      <c r="S23" s="7">
        <f>Table1[[#This Row],[Population projection 2020]]*0.07</f>
        <v>20779.164686079203</v>
      </c>
    </row>
    <row r="24" spans="1:19" x14ac:dyDescent="0.2">
      <c r="A24" s="3" t="s">
        <v>15</v>
      </c>
      <c r="B24" s="3" t="s">
        <v>22</v>
      </c>
      <c r="C24" s="7">
        <v>104750.94617013154</v>
      </c>
      <c r="D24" s="7">
        <f>Table1[[#This Row],[Population projection 2020]]*0.49</f>
        <v>51327.963623364456</v>
      </c>
      <c r="E24" s="7">
        <f>Table1[[#This Row],[Population projection 2020]]*0.51</f>
        <v>53422.982546767089</v>
      </c>
      <c r="F24" s="7">
        <f>Table1[[#This Row],[Population projection 2020]]*0.08</f>
        <v>8380.0756936105245</v>
      </c>
      <c r="G24" s="7">
        <f>Table1[[#This Row],[Population projection 2020]]*0.16</f>
        <v>16760.151387221049</v>
      </c>
      <c r="H24" s="7">
        <f>Table1[[#This Row],[Population projection 2020]]*0.53</f>
        <v>55518.001470169722</v>
      </c>
      <c r="I24" s="7">
        <f>Table1[[#This Row],[Female]]*0.46</f>
        <v>24574.571971512862</v>
      </c>
      <c r="J24" s="7">
        <f>Table1[[#This Row],[Male]]*0.47</f>
        <v>24124.142902981293</v>
      </c>
      <c r="K24" s="7">
        <f>Table1[[#This Row],[Population projection 2020]]*0.04</f>
        <v>4190.0378468052622</v>
      </c>
      <c r="L24" s="23">
        <f>SUM(Table1[[#This Row],[IDPs / Migrants Male]:[IDPs / Migrants Female]])</f>
        <v>0</v>
      </c>
      <c r="M24" s="7"/>
      <c r="N24" s="7"/>
      <c r="O24" s="7"/>
      <c r="P24" s="7"/>
      <c r="Q24" s="7"/>
      <c r="R24" s="7"/>
      <c r="S24" s="7">
        <f>Table1[[#This Row],[Population projection 2020]]*0.07</f>
        <v>7332.5662319092089</v>
      </c>
    </row>
    <row r="25" spans="1:19" x14ac:dyDescent="0.2">
      <c r="A25" s="3" t="s">
        <v>15</v>
      </c>
      <c r="B25" s="3" t="s">
        <v>19</v>
      </c>
      <c r="C25" s="7">
        <v>270492.17072154931</v>
      </c>
      <c r="D25" s="7">
        <f>Table1[[#This Row],[Population projection 2020]]*0.49</f>
        <v>132541.16365355917</v>
      </c>
      <c r="E25" s="7">
        <f>Table1[[#This Row],[Population projection 2020]]*0.51</f>
        <v>137951.00706799014</v>
      </c>
      <c r="F25" s="7">
        <f>Table1[[#This Row],[Population projection 2020]]*0.08</f>
        <v>21639.373657723943</v>
      </c>
      <c r="G25" s="7">
        <f>Table1[[#This Row],[Population projection 2020]]*0.16</f>
        <v>43278.747315447887</v>
      </c>
      <c r="H25" s="7">
        <f>Table1[[#This Row],[Population projection 2020]]*0.53</f>
        <v>143360.85048242114</v>
      </c>
      <c r="I25" s="7">
        <f>Table1[[#This Row],[Female]]*0.46</f>
        <v>63457.463251275469</v>
      </c>
      <c r="J25" s="7">
        <f>Table1[[#This Row],[Male]]*0.47</f>
        <v>62294.346917172807</v>
      </c>
      <c r="K25" s="7">
        <f>Table1[[#This Row],[Population projection 2020]]*0.04</f>
        <v>10819.686828861972</v>
      </c>
      <c r="L25" s="23">
        <f>SUM(Table1[[#This Row],[IDPs / Migrants Male]:[IDPs / Migrants Female]])</f>
        <v>0</v>
      </c>
      <c r="M25" s="7"/>
      <c r="N25" s="7"/>
      <c r="O25" s="7"/>
      <c r="P25" s="7"/>
      <c r="Q25" s="7"/>
      <c r="R25" s="7"/>
      <c r="S25" s="7">
        <f>Table1[[#This Row],[Population projection 2020]]*0.07</f>
        <v>18934.451950508454</v>
      </c>
    </row>
    <row r="26" spans="1:19" x14ac:dyDescent="0.2">
      <c r="A26" s="3" t="s">
        <v>15</v>
      </c>
      <c r="B26" s="3" t="s">
        <v>23</v>
      </c>
      <c r="C26" s="7">
        <v>13413.665102557872</v>
      </c>
      <c r="D26" s="7">
        <f>Table1[[#This Row],[Population projection 2020]]*0.49</f>
        <v>6572.6959002533576</v>
      </c>
      <c r="E26" s="7">
        <f>Table1[[#This Row],[Population projection 2020]]*0.51</f>
        <v>6840.9692023045145</v>
      </c>
      <c r="F26" s="7">
        <f>Table1[[#This Row],[Population projection 2020]]*0.08</f>
        <v>1073.0932082046297</v>
      </c>
      <c r="G26" s="7">
        <f>Table1[[#This Row],[Population projection 2020]]*0.16</f>
        <v>2146.1864164092594</v>
      </c>
      <c r="H26" s="7">
        <f>Table1[[#This Row],[Population projection 2020]]*0.53</f>
        <v>7109.2425043556723</v>
      </c>
      <c r="I26" s="7">
        <f>Table1[[#This Row],[Female]]*0.46</f>
        <v>3146.845833060077</v>
      </c>
      <c r="J26" s="7">
        <f>Table1[[#This Row],[Male]]*0.47</f>
        <v>3089.1670731190779</v>
      </c>
      <c r="K26" s="7">
        <f>Table1[[#This Row],[Population projection 2020]]*0.04</f>
        <v>536.54660410231486</v>
      </c>
      <c r="L26" s="23">
        <f>SUM(Table1[[#This Row],[IDPs / Migrants Male]:[IDPs / Migrants Female]])</f>
        <v>0</v>
      </c>
      <c r="M26" s="7"/>
      <c r="N26" s="7"/>
      <c r="O26" s="7"/>
      <c r="P26" s="7"/>
      <c r="Q26" s="7"/>
      <c r="R26" s="7"/>
      <c r="S26" s="7">
        <f>Table1[[#This Row],[Population projection 2020]]*0.07</f>
        <v>938.95655717905117</v>
      </c>
    </row>
    <row r="27" spans="1:19" x14ac:dyDescent="0.2">
      <c r="A27" s="3" t="s">
        <v>15</v>
      </c>
      <c r="B27" s="3" t="s">
        <v>20</v>
      </c>
      <c r="C27" s="7">
        <v>94146.152639433596</v>
      </c>
      <c r="D27" s="7">
        <f>Table1[[#This Row],[Population projection 2020]]*0.49</f>
        <v>46131.614793322464</v>
      </c>
      <c r="E27" s="7">
        <f>Table1[[#This Row],[Population projection 2020]]*0.51</f>
        <v>48014.537846111132</v>
      </c>
      <c r="F27" s="7">
        <f>Table1[[#This Row],[Population projection 2020]]*0.08</f>
        <v>7531.6922111546883</v>
      </c>
      <c r="G27" s="7">
        <f>Table1[[#This Row],[Population projection 2020]]*0.16</f>
        <v>15063.384422309377</v>
      </c>
      <c r="H27" s="7">
        <f>Table1[[#This Row],[Population projection 2020]]*0.53</f>
        <v>49897.460898899808</v>
      </c>
      <c r="I27" s="7">
        <f>Table1[[#This Row],[Female]]*0.46</f>
        <v>22086.687409211121</v>
      </c>
      <c r="J27" s="7">
        <f>Table1[[#This Row],[Male]]*0.47</f>
        <v>21681.858952861556</v>
      </c>
      <c r="K27" s="7">
        <f>Table1[[#This Row],[Population projection 2020]]*0.04</f>
        <v>3765.8461055773441</v>
      </c>
      <c r="L27" s="23">
        <f>SUM(Table1[[#This Row],[IDPs / Migrants Male]:[IDPs / Migrants Female]])</f>
        <v>0</v>
      </c>
      <c r="M27" s="7"/>
      <c r="N27" s="7"/>
      <c r="O27" s="7"/>
      <c r="P27" s="7"/>
      <c r="Q27" s="7"/>
      <c r="R27" s="7"/>
      <c r="S27" s="7">
        <f>Table1[[#This Row],[Population projection 2020]]*0.07</f>
        <v>6590.2306847603522</v>
      </c>
    </row>
    <row r="28" spans="1:19" x14ac:dyDescent="0.2">
      <c r="A28" s="3" t="s">
        <v>15</v>
      </c>
      <c r="B28" s="3" t="s">
        <v>21</v>
      </c>
      <c r="C28" s="7">
        <v>157228.14389338146</v>
      </c>
      <c r="D28" s="7">
        <f>Table1[[#This Row],[Population projection 2020]]*0.49</f>
        <v>77041.790507756916</v>
      </c>
      <c r="E28" s="7">
        <f>Table1[[#This Row],[Population projection 2020]]*0.51</f>
        <v>80186.353385624549</v>
      </c>
      <c r="F28" s="7">
        <f>Table1[[#This Row],[Population projection 2020]]*0.08</f>
        <v>12578.251511470517</v>
      </c>
      <c r="G28" s="7">
        <f>Table1[[#This Row],[Population projection 2020]]*0.16</f>
        <v>25156.503022941033</v>
      </c>
      <c r="H28" s="7">
        <f>Table1[[#This Row],[Population projection 2020]]*0.53</f>
        <v>83330.916263492181</v>
      </c>
      <c r="I28" s="7">
        <f>Table1[[#This Row],[Female]]*0.46</f>
        <v>36885.722557387293</v>
      </c>
      <c r="J28" s="7">
        <f>Table1[[#This Row],[Male]]*0.47</f>
        <v>36209.641538645745</v>
      </c>
      <c r="K28" s="7">
        <f>Table1[[#This Row],[Population projection 2020]]*0.04</f>
        <v>6289.1257557352583</v>
      </c>
      <c r="L28" s="23">
        <f>SUM(Table1[[#This Row],[IDPs / Migrants Male]:[IDPs / Migrants Female]])</f>
        <v>0</v>
      </c>
      <c r="M28" s="7"/>
      <c r="N28" s="7"/>
      <c r="O28" s="7"/>
      <c r="P28" s="7"/>
      <c r="Q28" s="7"/>
      <c r="R28" s="7"/>
      <c r="S28" s="7">
        <f>Table1[[#This Row],[Population projection 2020]]*0.07</f>
        <v>11005.970072536704</v>
      </c>
    </row>
    <row r="29" spans="1:19" x14ac:dyDescent="0.2">
      <c r="A29" s="3" t="s">
        <v>25</v>
      </c>
      <c r="B29" s="3" t="s">
        <v>26</v>
      </c>
      <c r="C29" s="7">
        <v>148637.05770676341</v>
      </c>
      <c r="D29" s="7">
        <f>Table1[[#This Row],[Population projection 2020]]*0.48</f>
        <v>71345.78769924643</v>
      </c>
      <c r="E29" s="7">
        <f>Table1[[#This Row],[Population projection 2020]]*0.52</f>
        <v>77291.270007516985</v>
      </c>
      <c r="F29" s="7">
        <f>Table1[[#This Row],[Population projection 2020]]*0.08</f>
        <v>11890.964616541074</v>
      </c>
      <c r="G29" s="7">
        <f>Table1[[#This Row],[Population projection 2020]]*0.15</f>
        <v>22295.558656014513</v>
      </c>
      <c r="H29" s="7">
        <f>Table1[[#This Row],[Population projection 2020]]*0.52</f>
        <v>77291.270007516985</v>
      </c>
      <c r="I29" s="7">
        <f>Table1[[#This Row],[Female]]*0.46</f>
        <v>35553.984203457818</v>
      </c>
      <c r="J29" s="7">
        <f>Table1[[#This Row],[Male]]*0.46</f>
        <v>32819.062341653356</v>
      </c>
      <c r="K29" s="7">
        <f>Table1[[#This Row],[Population projection 2020]]*0.05</f>
        <v>7431.8528853381713</v>
      </c>
      <c r="L29" s="23">
        <f>SUM(Table1[[#This Row],[IDPs / Migrants Male]:[IDPs / Migrants Female]])</f>
        <v>0</v>
      </c>
      <c r="M29" s="7"/>
      <c r="N29" s="7"/>
      <c r="O29" s="7">
        <v>869</v>
      </c>
      <c r="P29" s="7">
        <v>436</v>
      </c>
      <c r="Q29" s="7">
        <v>433</v>
      </c>
      <c r="R29" s="7"/>
      <c r="S29" s="7">
        <f>Table1[[#This Row],[Population projection 2020]]*0.07</f>
        <v>10404.594039473441</v>
      </c>
    </row>
    <row r="30" spans="1:19" x14ac:dyDescent="0.2">
      <c r="A30" s="3" t="s">
        <v>25</v>
      </c>
      <c r="B30" s="3" t="s">
        <v>27</v>
      </c>
      <c r="C30" s="7">
        <v>278332.78431174275</v>
      </c>
      <c r="D30" s="7">
        <f>Table1[[#This Row],[Population projection 2020]]*0.48</f>
        <v>133599.73646963653</v>
      </c>
      <c r="E30" s="7">
        <f>Table1[[#This Row],[Population projection 2020]]*0.52</f>
        <v>144733.04784210623</v>
      </c>
      <c r="F30" s="7">
        <f>Table1[[#This Row],[Population projection 2020]]*0.08</f>
        <v>22266.622744939421</v>
      </c>
      <c r="G30" s="7">
        <f>Table1[[#This Row],[Population projection 2020]]*0.15</f>
        <v>41749.917646761409</v>
      </c>
      <c r="H30" s="7">
        <f>Table1[[#This Row],[Population projection 2020]]*0.52</f>
        <v>144733.04784210623</v>
      </c>
      <c r="I30" s="7">
        <f>Table1[[#This Row],[Female]]*0.46</f>
        <v>66577.202007368862</v>
      </c>
      <c r="J30" s="7">
        <f>Table1[[#This Row],[Male]]*0.46</f>
        <v>61455.878776032805</v>
      </c>
      <c r="K30" s="7">
        <f>Table1[[#This Row],[Population projection 2020]]*0.05</f>
        <v>13916.639215587138</v>
      </c>
      <c r="L30" s="23">
        <f>SUM(Table1[[#This Row],[IDPs / Migrants Male]:[IDPs / Migrants Female]])</f>
        <v>0</v>
      </c>
      <c r="M30" s="7"/>
      <c r="N30" s="7"/>
      <c r="O30" s="7"/>
      <c r="P30" s="7"/>
      <c r="Q30" s="7"/>
      <c r="R30" s="7"/>
      <c r="S30" s="7">
        <f>Table1[[#This Row],[Population projection 2020]]*0.07</f>
        <v>19483.294901821995</v>
      </c>
    </row>
    <row r="31" spans="1:19" x14ac:dyDescent="0.2">
      <c r="A31" s="3" t="s">
        <v>25</v>
      </c>
      <c r="B31" s="3" t="s">
        <v>28</v>
      </c>
      <c r="C31" s="7">
        <v>87794.943872471573</v>
      </c>
      <c r="D31" s="7">
        <f>Table1[[#This Row],[Population projection 2020]]*0.48</f>
        <v>42141.573058786351</v>
      </c>
      <c r="E31" s="7">
        <f>Table1[[#This Row],[Population projection 2020]]*0.52</f>
        <v>45653.370813685222</v>
      </c>
      <c r="F31" s="7">
        <f>Table1[[#This Row],[Population projection 2020]]*0.08</f>
        <v>7023.5955097977258</v>
      </c>
      <c r="G31" s="7">
        <f>Table1[[#This Row],[Population projection 2020]]*0.15</f>
        <v>13169.241580870736</v>
      </c>
      <c r="H31" s="7">
        <f>Table1[[#This Row],[Population projection 2020]]*0.52</f>
        <v>45653.370813685222</v>
      </c>
      <c r="I31" s="7">
        <f>Table1[[#This Row],[Female]]*0.46</f>
        <v>21000.550574295205</v>
      </c>
      <c r="J31" s="7">
        <f>Table1[[#This Row],[Male]]*0.46</f>
        <v>19385.123607041722</v>
      </c>
      <c r="K31" s="7">
        <f>Table1[[#This Row],[Population projection 2020]]*0.05</f>
        <v>4389.7471936235788</v>
      </c>
      <c r="L31" s="23">
        <f>SUM(Table1[[#This Row],[IDPs / Migrants Male]:[IDPs / Migrants Female]])</f>
        <v>0</v>
      </c>
      <c r="M31" s="7"/>
      <c r="N31" s="7"/>
      <c r="O31" s="7"/>
      <c r="P31" s="7"/>
      <c r="Q31" s="7"/>
      <c r="R31" s="7"/>
      <c r="S31" s="7">
        <f>Table1[[#This Row],[Population projection 2020]]*0.07</f>
        <v>6145.6460710730107</v>
      </c>
    </row>
    <row r="32" spans="1:19" x14ac:dyDescent="0.2">
      <c r="A32" s="3" t="s">
        <v>25</v>
      </c>
      <c r="B32" s="3" t="s">
        <v>102</v>
      </c>
      <c r="C32" s="7">
        <v>144722.854088055</v>
      </c>
      <c r="D32" s="7">
        <f>Table1[[#This Row],[Population projection 2020]]*0.48</f>
        <v>69466.96996226639</v>
      </c>
      <c r="E32" s="7">
        <f>Table1[[#This Row],[Population projection 2020]]*0.52</f>
        <v>75255.884125788609</v>
      </c>
      <c r="F32" s="7">
        <f>Table1[[#This Row],[Population projection 2020]]*0.08</f>
        <v>11577.828327044401</v>
      </c>
      <c r="G32" s="7">
        <f>Table1[[#This Row],[Population projection 2020]]*0.15</f>
        <v>21708.428113208251</v>
      </c>
      <c r="H32" s="7">
        <f>Table1[[#This Row],[Population projection 2020]]*0.52</f>
        <v>75255.884125788609</v>
      </c>
      <c r="I32" s="7">
        <f>Table1[[#This Row],[Female]]*0.46</f>
        <v>34617.706697862763</v>
      </c>
      <c r="J32" s="7">
        <f>Table1[[#This Row],[Male]]*0.46</f>
        <v>31954.80618264254</v>
      </c>
      <c r="K32" s="7">
        <f>Table1[[#This Row],[Population projection 2020]]*0.05</f>
        <v>7236.1427044027505</v>
      </c>
      <c r="L32" s="23">
        <f>SUM(Table1[[#This Row],[IDPs / Migrants Male]:[IDPs / Migrants Female]])</f>
        <v>0</v>
      </c>
      <c r="M32" s="7"/>
      <c r="N32" s="7"/>
      <c r="O32" s="7"/>
      <c r="P32" s="7"/>
      <c r="Q32" s="7"/>
      <c r="R32" s="7"/>
      <c r="S32" s="7">
        <f>Table1[[#This Row],[Population projection 2020]]*0.07</f>
        <v>10130.599786163852</v>
      </c>
    </row>
    <row r="33" spans="1:19" x14ac:dyDescent="0.2">
      <c r="A33" s="3" t="s">
        <v>25</v>
      </c>
      <c r="B33" s="3" t="s">
        <v>33</v>
      </c>
      <c r="C33" s="7">
        <v>76698.102387068706</v>
      </c>
      <c r="D33" s="7">
        <f>Table1[[#This Row],[Population projection 2020]]*0.48</f>
        <v>36815.089145792976</v>
      </c>
      <c r="E33" s="7">
        <f>Table1[[#This Row],[Population projection 2020]]*0.52</f>
        <v>39883.01324127573</v>
      </c>
      <c r="F33" s="7">
        <f>Table1[[#This Row],[Population projection 2020]]*0.08</f>
        <v>6135.8481909654965</v>
      </c>
      <c r="G33" s="7">
        <f>Table1[[#This Row],[Population projection 2020]]*0.15</f>
        <v>11504.715358060306</v>
      </c>
      <c r="H33" s="7">
        <f>Table1[[#This Row],[Population projection 2020]]*0.52</f>
        <v>39883.01324127573</v>
      </c>
      <c r="I33" s="7">
        <f>Table1[[#This Row],[Female]]*0.46</f>
        <v>18346.186090986837</v>
      </c>
      <c r="J33" s="7">
        <f>Table1[[#This Row],[Male]]*0.46</f>
        <v>16934.941007064768</v>
      </c>
      <c r="K33" s="7">
        <f>Table1[[#This Row],[Population projection 2020]]*0.05</f>
        <v>3834.9051193534356</v>
      </c>
      <c r="L33" s="23">
        <f>SUM(Table1[[#This Row],[IDPs / Migrants Male]:[IDPs / Migrants Female]])</f>
        <v>0</v>
      </c>
      <c r="M33" s="7"/>
      <c r="N33" s="7"/>
      <c r="O33" s="7"/>
      <c r="P33" s="7"/>
      <c r="Q33" s="7"/>
      <c r="R33" s="7"/>
      <c r="S33" s="7">
        <f>Table1[[#This Row],[Population projection 2020]]*0.07</f>
        <v>5368.8671670948097</v>
      </c>
    </row>
    <row r="34" spans="1:19" x14ac:dyDescent="0.2">
      <c r="A34" s="3" t="s">
        <v>25</v>
      </c>
      <c r="B34" s="3" t="s">
        <v>29</v>
      </c>
      <c r="C34" s="7">
        <v>164846.85859675604</v>
      </c>
      <c r="D34" s="7">
        <f>Table1[[#This Row],[Population projection 2020]]*0.48</f>
        <v>79126.492126442899</v>
      </c>
      <c r="E34" s="7">
        <f>Table1[[#This Row],[Population projection 2020]]*0.52</f>
        <v>85720.366470313136</v>
      </c>
      <c r="F34" s="7">
        <f>Table1[[#This Row],[Population projection 2020]]*0.08</f>
        <v>13187.748687740483</v>
      </c>
      <c r="G34" s="7">
        <f>Table1[[#This Row],[Population projection 2020]]*0.15</f>
        <v>24727.028789513406</v>
      </c>
      <c r="H34" s="7">
        <f>Table1[[#This Row],[Population projection 2020]]*0.52</f>
        <v>85720.366470313136</v>
      </c>
      <c r="I34" s="7">
        <f>Table1[[#This Row],[Female]]*0.46</f>
        <v>39431.368576344044</v>
      </c>
      <c r="J34" s="7">
        <f>Table1[[#This Row],[Male]]*0.46</f>
        <v>36398.186378163737</v>
      </c>
      <c r="K34" s="7">
        <f>Table1[[#This Row],[Population projection 2020]]*0.05</f>
        <v>8242.3429298378014</v>
      </c>
      <c r="L34" s="23">
        <f>SUM(Table1[[#This Row],[IDPs / Migrants Male]:[IDPs / Migrants Female]])</f>
        <v>0</v>
      </c>
      <c r="M34" s="7"/>
      <c r="N34" s="7"/>
      <c r="O34" s="7"/>
      <c r="P34" s="7"/>
      <c r="Q34" s="7"/>
      <c r="R34" s="7"/>
      <c r="S34" s="7">
        <f>Table1[[#This Row],[Population projection 2020]]*0.07</f>
        <v>11539.280101772923</v>
      </c>
    </row>
    <row r="35" spans="1:19" x14ac:dyDescent="0.2">
      <c r="A35" s="3" t="s">
        <v>25</v>
      </c>
      <c r="B35" s="3" t="s">
        <v>30</v>
      </c>
      <c r="C35" s="7">
        <v>246935.032149031</v>
      </c>
      <c r="D35" s="7">
        <f>Table1[[#This Row],[Population projection 2020]]*0.48</f>
        <v>118528.81543153488</v>
      </c>
      <c r="E35" s="7">
        <f>Table1[[#This Row],[Population projection 2020]]*0.52</f>
        <v>128406.21671749612</v>
      </c>
      <c r="F35" s="7">
        <f>Table1[[#This Row],[Population projection 2020]]*0.08</f>
        <v>19754.802571922479</v>
      </c>
      <c r="G35" s="7">
        <f>Table1[[#This Row],[Population projection 2020]]*0.15</f>
        <v>37040.254822354647</v>
      </c>
      <c r="H35" s="7">
        <f>Table1[[#This Row],[Population projection 2020]]*0.52</f>
        <v>128406.21671749612</v>
      </c>
      <c r="I35" s="7">
        <f>Table1[[#This Row],[Female]]*0.46</f>
        <v>59066.859690048215</v>
      </c>
      <c r="J35" s="7">
        <f>Table1[[#This Row],[Male]]*0.46</f>
        <v>54523.255098506044</v>
      </c>
      <c r="K35" s="7">
        <f>Table1[[#This Row],[Population projection 2020]]*0.05</f>
        <v>12346.751607451552</v>
      </c>
      <c r="L35" s="23">
        <f>SUM(Table1[[#This Row],[IDPs / Migrants Male]:[IDPs / Migrants Female]])</f>
        <v>0</v>
      </c>
      <c r="M35" s="7"/>
      <c r="N35" s="7"/>
      <c r="O35" s="7"/>
      <c r="P35" s="7"/>
      <c r="Q35" s="7"/>
      <c r="R35" s="7"/>
      <c r="S35" s="7">
        <f>Table1[[#This Row],[Population projection 2020]]*0.07</f>
        <v>17285.452250432172</v>
      </c>
    </row>
    <row r="36" spans="1:19" x14ac:dyDescent="0.2">
      <c r="A36" s="3" t="s">
        <v>25</v>
      </c>
      <c r="B36" s="3" t="s">
        <v>31</v>
      </c>
      <c r="C36" s="7">
        <v>180774.59930183538</v>
      </c>
      <c r="D36" s="7">
        <f>Table1[[#This Row],[Population projection 2020]]*0.48</f>
        <v>86771.80766488098</v>
      </c>
      <c r="E36" s="7">
        <f>Table1[[#This Row],[Population projection 2020]]*0.52</f>
        <v>94002.791636954396</v>
      </c>
      <c r="F36" s="7">
        <f>Table1[[#This Row],[Population projection 2020]]*0.08</f>
        <v>14461.967944146831</v>
      </c>
      <c r="G36" s="7">
        <f>Table1[[#This Row],[Population projection 2020]]*0.15</f>
        <v>27116.189895275307</v>
      </c>
      <c r="H36" s="7">
        <f>Table1[[#This Row],[Population projection 2020]]*0.52</f>
        <v>94002.791636954396</v>
      </c>
      <c r="I36" s="7">
        <f>Table1[[#This Row],[Female]]*0.46</f>
        <v>43241.284152999026</v>
      </c>
      <c r="J36" s="7">
        <f>Table1[[#This Row],[Male]]*0.46</f>
        <v>39915.031525845254</v>
      </c>
      <c r="K36" s="7">
        <f>Table1[[#This Row],[Population projection 2020]]*0.05</f>
        <v>9038.7299650917685</v>
      </c>
      <c r="L36" s="23">
        <f>SUM(Table1[[#This Row],[IDPs / Migrants Male]:[IDPs / Migrants Female]])</f>
        <v>0</v>
      </c>
      <c r="M36" s="7"/>
      <c r="N36" s="7"/>
      <c r="O36" s="7"/>
      <c r="P36" s="7"/>
      <c r="Q36" s="7"/>
      <c r="R36" s="7"/>
      <c r="S36" s="7">
        <f>Table1[[#This Row],[Population projection 2020]]*0.07</f>
        <v>12654.221951128478</v>
      </c>
    </row>
    <row r="37" spans="1:19" x14ac:dyDescent="0.2">
      <c r="A37" s="3" t="s">
        <v>25</v>
      </c>
      <c r="B37" s="3" t="s">
        <v>34</v>
      </c>
      <c r="C37" s="7">
        <v>70116.69807242621</v>
      </c>
      <c r="D37" s="7">
        <f>Table1[[#This Row],[Population projection 2020]]*0.48</f>
        <v>33656.015074764582</v>
      </c>
      <c r="E37" s="7">
        <f>Table1[[#This Row],[Population projection 2020]]*0.52</f>
        <v>36460.682997661628</v>
      </c>
      <c r="F37" s="7">
        <f>Table1[[#This Row],[Population projection 2020]]*0.08</f>
        <v>5609.3358457940967</v>
      </c>
      <c r="G37" s="7">
        <f>Table1[[#This Row],[Population projection 2020]]*0.15</f>
        <v>10517.504710863932</v>
      </c>
      <c r="H37" s="7">
        <f>Table1[[#This Row],[Population projection 2020]]*0.52</f>
        <v>36460.682997661628</v>
      </c>
      <c r="I37" s="7">
        <f>Table1[[#This Row],[Female]]*0.46</f>
        <v>16771.914178924351</v>
      </c>
      <c r="J37" s="7">
        <f>Table1[[#This Row],[Male]]*0.46</f>
        <v>15481.766934391708</v>
      </c>
      <c r="K37" s="7">
        <f>Table1[[#This Row],[Population projection 2020]]*0.05</f>
        <v>3505.8349036213108</v>
      </c>
      <c r="L37" s="23">
        <f>SUM(Table1[[#This Row],[IDPs / Migrants Male]:[IDPs / Migrants Female]])</f>
        <v>0</v>
      </c>
      <c r="M37" s="7"/>
      <c r="N37" s="7"/>
      <c r="O37" s="7"/>
      <c r="P37" s="7"/>
      <c r="Q37" s="7"/>
      <c r="R37" s="7"/>
      <c r="S37" s="7">
        <f>Table1[[#This Row],[Population projection 2020]]*0.07</f>
        <v>4908.1688650698352</v>
      </c>
    </row>
    <row r="38" spans="1:19" x14ac:dyDescent="0.2">
      <c r="A38" s="3" t="s">
        <v>25</v>
      </c>
      <c r="B38" s="3" t="s">
        <v>32</v>
      </c>
      <c r="C38" s="7">
        <v>124645.85961017283</v>
      </c>
      <c r="D38" s="7">
        <f>Table1[[#This Row],[Population projection 2020]]*0.48</f>
        <v>59830.012612882958</v>
      </c>
      <c r="E38" s="7">
        <f>Table1[[#This Row],[Population projection 2020]]*0.52</f>
        <v>64815.846997289875</v>
      </c>
      <c r="F38" s="7">
        <f>Table1[[#This Row],[Population projection 2020]]*0.08</f>
        <v>9971.6687688138263</v>
      </c>
      <c r="G38" s="7">
        <f>Table1[[#This Row],[Population projection 2020]]*0.15</f>
        <v>18696.878941525923</v>
      </c>
      <c r="H38" s="7">
        <f>Table1[[#This Row],[Population projection 2020]]*0.52</f>
        <v>64815.846997289875</v>
      </c>
      <c r="I38" s="7">
        <f>Table1[[#This Row],[Female]]*0.46</f>
        <v>29815.289618753344</v>
      </c>
      <c r="J38" s="7">
        <f>Table1[[#This Row],[Male]]*0.46</f>
        <v>27521.805801926163</v>
      </c>
      <c r="K38" s="7">
        <f>Table1[[#This Row],[Population projection 2020]]*0.05</f>
        <v>6232.2929805086424</v>
      </c>
      <c r="L38" s="23">
        <f>SUM(Table1[[#This Row],[IDPs / Migrants Male]:[IDPs / Migrants Female]])</f>
        <v>0</v>
      </c>
      <c r="M38" s="7"/>
      <c r="N38" s="7"/>
      <c r="O38" s="7"/>
      <c r="P38" s="7"/>
      <c r="Q38" s="7"/>
      <c r="R38" s="7"/>
      <c r="S38" s="7">
        <f>Table1[[#This Row],[Population projection 2020]]*0.07</f>
        <v>8725.2101727120989</v>
      </c>
    </row>
    <row r="39" spans="1:19" x14ac:dyDescent="0.2">
      <c r="A39" s="3" t="s">
        <v>25</v>
      </c>
      <c r="B39" s="3" t="s">
        <v>101</v>
      </c>
      <c r="C39" s="7">
        <v>139311.75211958765</v>
      </c>
      <c r="D39" s="7">
        <f>Table1[[#This Row],[Population projection 2020]]*0.48</f>
        <v>66869.641017402071</v>
      </c>
      <c r="E39" s="7">
        <f>Table1[[#This Row],[Population projection 2020]]*0.52</f>
        <v>72442.111102185576</v>
      </c>
      <c r="F39" s="7">
        <f>Table1[[#This Row],[Population projection 2020]]*0.08</f>
        <v>11144.940169567011</v>
      </c>
      <c r="G39" s="7">
        <f>Table1[[#This Row],[Population projection 2020]]*0.15</f>
        <v>20896.762817938146</v>
      </c>
      <c r="H39" s="7">
        <f>Table1[[#This Row],[Population projection 2020]]*0.52</f>
        <v>72442.111102185576</v>
      </c>
      <c r="I39" s="7">
        <f>Table1[[#This Row],[Population projection 2020]]*0.46</f>
        <v>64083.405975010319</v>
      </c>
      <c r="J39" s="7">
        <f>Table1[[#This Row],[Male]]*0.46</f>
        <v>30760.034868004954</v>
      </c>
      <c r="K39" s="7">
        <f>Table1[[#This Row],[Population projection 2020]]*0.05</f>
        <v>6965.5876059793827</v>
      </c>
      <c r="L39" s="23">
        <f>SUM(Table1[[#This Row],[IDPs / Migrants Male]:[IDPs / Migrants Female]])</f>
        <v>0</v>
      </c>
      <c r="M39" s="7"/>
      <c r="N39" s="7"/>
      <c r="O39" s="7"/>
      <c r="P39" s="7"/>
      <c r="Q39" s="7"/>
      <c r="R39" s="7"/>
      <c r="S39" s="7">
        <f>Table1[[#This Row],[Population projection 2020]]*0.07</f>
        <v>9751.8226483711369</v>
      </c>
    </row>
    <row r="40" spans="1:19" x14ac:dyDescent="0.2">
      <c r="A40" s="3" t="s">
        <v>35</v>
      </c>
      <c r="B40" s="3" t="s">
        <v>99</v>
      </c>
      <c r="C40" s="7">
        <v>192292.42961104275</v>
      </c>
      <c r="D40" s="7">
        <f>Table1[[#This Row],[Population projection 2020]]*0.5</f>
        <v>96146.214805521377</v>
      </c>
      <c r="E40" s="7">
        <f>Table1[[#This Row],[Population projection 2020]]*0.5</f>
        <v>96146.214805521377</v>
      </c>
      <c r="F40" s="7">
        <f>Table1[[#This Row],[Population projection 2020]]*0.08</f>
        <v>15383.394368883421</v>
      </c>
      <c r="G40" s="7">
        <f>Table1[[#This Row],[Population projection 2020]]*0.15</f>
        <v>28843.864441656413</v>
      </c>
      <c r="H40" s="7">
        <f>Table1[[#This Row],[Population projection 2020]]*0.52</f>
        <v>99992.06339774224</v>
      </c>
      <c r="I40" s="7">
        <f>Table1[[#This Row],[Female]]*0.49</f>
        <v>47111.645254705472</v>
      </c>
      <c r="J40" s="7">
        <f>Table1[[#This Row],[Male]]*0.5</f>
        <v>48073.107402760688</v>
      </c>
      <c r="K40" s="7">
        <f>Table1[[#This Row],[Population projection 2020]]*0.04</f>
        <v>7691.6971844417103</v>
      </c>
      <c r="L40" s="23">
        <f>SUM(Table1[[#This Row],[IDPs / Migrants Male]:[IDPs / Migrants Female]])</f>
        <v>0</v>
      </c>
      <c r="M40" s="7"/>
      <c r="N40" s="7"/>
      <c r="O40" s="7"/>
      <c r="P40" s="7"/>
      <c r="Q40" s="7"/>
      <c r="R40" s="7"/>
      <c r="S40" s="7">
        <f>Table1[[#This Row],[Population projection 2020]]*0.07</f>
        <v>13460.470072772994</v>
      </c>
    </row>
    <row r="41" spans="1:19" x14ac:dyDescent="0.2">
      <c r="A41" s="3" t="s">
        <v>35</v>
      </c>
      <c r="B41" s="3" t="s">
        <v>41</v>
      </c>
      <c r="C41" s="7">
        <v>63311.145189044626</v>
      </c>
      <c r="D41" s="7">
        <f>Table1[[#This Row],[Population projection 2020]]*0.5</f>
        <v>31655.572594522313</v>
      </c>
      <c r="E41" s="7">
        <f>Table1[[#This Row],[Population projection 2020]]*0.5</f>
        <v>31655.572594522313</v>
      </c>
      <c r="F41" s="7">
        <f>Table1[[#This Row],[Population projection 2020]]*0.08</f>
        <v>5064.8916151235699</v>
      </c>
      <c r="G41" s="7">
        <f>Table1[[#This Row],[Population projection 2020]]*0.15</f>
        <v>9496.6717783566928</v>
      </c>
      <c r="H41" s="7">
        <f>Table1[[#This Row],[Population projection 2020]]*0.52</f>
        <v>32921.795498303203</v>
      </c>
      <c r="I41" s="7">
        <f>Table1[[#This Row],[Female]]*0.49</f>
        <v>15511.230571315933</v>
      </c>
      <c r="J41" s="7">
        <f>Table1[[#This Row],[Male]]*0.5</f>
        <v>15827.786297261157</v>
      </c>
      <c r="K41" s="7">
        <f>Table1[[#This Row],[Population projection 2020]]*0.04</f>
        <v>2532.4458075617849</v>
      </c>
      <c r="L41" s="23">
        <f>SUM(Table1[[#This Row],[IDPs / Migrants Male]:[IDPs / Migrants Female]])</f>
        <v>0</v>
      </c>
      <c r="M41" s="7"/>
      <c r="N41" s="7"/>
      <c r="O41" s="7"/>
      <c r="P41" s="7"/>
      <c r="Q41" s="7"/>
      <c r="R41" s="7"/>
      <c r="S41" s="7">
        <f>Table1[[#This Row],[Population projection 2020]]*0.07</f>
        <v>4431.7801632331239</v>
      </c>
    </row>
    <row r="42" spans="1:19" x14ac:dyDescent="0.2">
      <c r="A42" s="3" t="s">
        <v>35</v>
      </c>
      <c r="B42" s="3" t="s">
        <v>40</v>
      </c>
      <c r="C42" s="7">
        <v>97524.693287943446</v>
      </c>
      <c r="D42" s="7">
        <f>Table1[[#This Row],[Population projection 2020]]*0.5</f>
        <v>48762.346643971723</v>
      </c>
      <c r="E42" s="7">
        <f>Table1[[#This Row],[Population projection 2020]]*0.5</f>
        <v>48762.346643971723</v>
      </c>
      <c r="F42" s="7">
        <f>Table1[[#This Row],[Population projection 2020]]*0.08</f>
        <v>7801.9754630354755</v>
      </c>
      <c r="G42" s="7">
        <f>Table1[[#This Row],[Population projection 2020]]*0.15</f>
        <v>14628.703993191517</v>
      </c>
      <c r="H42" s="7">
        <f>Table1[[#This Row],[Population projection 2020]]*0.52</f>
        <v>50712.840509730595</v>
      </c>
      <c r="I42" s="7">
        <f>Table1[[#This Row],[Female]]*0.49</f>
        <v>23893.549855546145</v>
      </c>
      <c r="J42" s="7">
        <f>Table1[[#This Row],[Male]]*0.5</f>
        <v>24381.173321985862</v>
      </c>
      <c r="K42" s="7">
        <f>Table1[[#This Row],[Population projection 2020]]*0.04</f>
        <v>3900.9877315177378</v>
      </c>
      <c r="L42" s="23">
        <f>SUM(Table1[[#This Row],[IDPs / Migrants Male]:[IDPs / Migrants Female]])</f>
        <v>0</v>
      </c>
      <c r="M42" s="7"/>
      <c r="N42" s="7"/>
      <c r="O42" s="7"/>
      <c r="P42" s="7"/>
      <c r="Q42" s="7"/>
      <c r="R42" s="7"/>
      <c r="S42" s="7">
        <f>Table1[[#This Row],[Population projection 2020]]*0.07</f>
        <v>6826.7285301560423</v>
      </c>
    </row>
    <row r="43" spans="1:19" x14ac:dyDescent="0.2">
      <c r="A43" s="3" t="s">
        <v>35</v>
      </c>
      <c r="B43" s="3" t="s">
        <v>36</v>
      </c>
      <c r="C43" s="7">
        <v>411975.47070167866</v>
      </c>
      <c r="D43" s="7">
        <f>Table1[[#This Row],[Population projection 2020]]*0.5</f>
        <v>205987.73535083933</v>
      </c>
      <c r="E43" s="7">
        <f>Table1[[#This Row],[Population projection 2020]]*0.5</f>
        <v>205987.73535083933</v>
      </c>
      <c r="F43" s="7">
        <f>Table1[[#This Row],[Population projection 2020]]*0.08</f>
        <v>32958.037656134293</v>
      </c>
      <c r="G43" s="7">
        <f>Table1[[#This Row],[Population projection 2020]]*0.15</f>
        <v>61796.320605251793</v>
      </c>
      <c r="H43" s="7">
        <f>Table1[[#This Row],[Population projection 2020]]*0.52</f>
        <v>214227.24476487291</v>
      </c>
      <c r="I43" s="7">
        <f>Table1[[#This Row],[Female]]*0.49</f>
        <v>100933.99032191127</v>
      </c>
      <c r="J43" s="7">
        <f>Table1[[#This Row],[Male]]*0.5</f>
        <v>102993.86767541966</v>
      </c>
      <c r="K43" s="7">
        <f>Table1[[#This Row],[Population projection 2020]]*0.04</f>
        <v>16479.018828067146</v>
      </c>
      <c r="L43" s="23">
        <f>SUM(Table1[[#This Row],[IDPs / Migrants Male]:[IDPs / Migrants Female]])</f>
        <v>0</v>
      </c>
      <c r="M43" s="7"/>
      <c r="N43" s="7"/>
      <c r="O43" s="7"/>
      <c r="P43" s="7"/>
      <c r="Q43" s="7"/>
      <c r="R43" s="7"/>
      <c r="S43" s="7">
        <f>Table1[[#This Row],[Population projection 2020]]*0.07</f>
        <v>28838.282949117507</v>
      </c>
    </row>
    <row r="44" spans="1:19" x14ac:dyDescent="0.2">
      <c r="A44" s="3" t="s">
        <v>35</v>
      </c>
      <c r="B44" s="3" t="s">
        <v>37</v>
      </c>
      <c r="C44" s="7">
        <v>115720.85954706004</v>
      </c>
      <c r="D44" s="7">
        <f>Table1[[#This Row],[Population projection 2020]]*0.5</f>
        <v>57860.429773530021</v>
      </c>
      <c r="E44" s="7">
        <f>Table1[[#This Row],[Population projection 2020]]*0.5</f>
        <v>57860.429773530021</v>
      </c>
      <c r="F44" s="7">
        <f>Table1[[#This Row],[Population projection 2020]]*0.08</f>
        <v>9257.6687637648029</v>
      </c>
      <c r="G44" s="7">
        <f>Table1[[#This Row],[Population projection 2020]]*0.15</f>
        <v>17358.128932059004</v>
      </c>
      <c r="H44" s="7">
        <f>Table1[[#This Row],[Population projection 2020]]*0.52</f>
        <v>60174.846964471224</v>
      </c>
      <c r="I44" s="7">
        <f>Table1[[#This Row],[Female]]*0.49</f>
        <v>28351.610589029711</v>
      </c>
      <c r="J44" s="7">
        <f>Table1[[#This Row],[Male]]*0.5</f>
        <v>28930.21488676501</v>
      </c>
      <c r="K44" s="7">
        <f>Table1[[#This Row],[Population projection 2020]]*0.04</f>
        <v>4628.8343818824014</v>
      </c>
      <c r="L44" s="23">
        <f>SUM(Table1[[#This Row],[IDPs / Migrants Male]:[IDPs / Migrants Female]])</f>
        <v>0</v>
      </c>
      <c r="M44" s="7"/>
      <c r="N44" s="7"/>
      <c r="O44" s="7"/>
      <c r="P44" s="7"/>
      <c r="Q44" s="7"/>
      <c r="R44" s="7"/>
      <c r="S44" s="7">
        <f>Table1[[#This Row],[Population projection 2020]]*0.07</f>
        <v>8100.4601682942039</v>
      </c>
    </row>
    <row r="45" spans="1:19" x14ac:dyDescent="0.2">
      <c r="A45" s="3" t="s">
        <v>35</v>
      </c>
      <c r="B45" s="3" t="s">
        <v>100</v>
      </c>
      <c r="C45" s="7">
        <v>51771.471937647504</v>
      </c>
      <c r="D45" s="7">
        <f>Table1[[#This Row],[Population projection 2020]]*0.5</f>
        <v>25885.735968823752</v>
      </c>
      <c r="E45" s="7">
        <f>Table1[[#This Row],[Population projection 2020]]*0.5</f>
        <v>25885.735968823752</v>
      </c>
      <c r="F45" s="7">
        <f>Table1[[#This Row],[Population projection 2020]]*0.08</f>
        <v>4141.7177550118004</v>
      </c>
      <c r="G45" s="7">
        <f>Table1[[#This Row],[Population projection 2020]]*0.15</f>
        <v>7765.7207906471249</v>
      </c>
      <c r="H45" s="7">
        <f>Table1[[#This Row],[Population projection 2020]]*0.52</f>
        <v>26921.165407576704</v>
      </c>
      <c r="I45" s="7">
        <f>Table1[[#This Row],[Female]]*0.49</f>
        <v>12684.010624723638</v>
      </c>
      <c r="J45" s="7">
        <f>Table1[[#This Row],[Male]]*0.5</f>
        <v>12942.867984411876</v>
      </c>
      <c r="K45" s="7">
        <f>Table1[[#This Row],[Population projection 2020]]*0.04</f>
        <v>2070.8588775059002</v>
      </c>
      <c r="L45" s="23">
        <f>SUM(Table1[[#This Row],[IDPs / Migrants Male]:[IDPs / Migrants Female]])</f>
        <v>0</v>
      </c>
      <c r="M45" s="7"/>
      <c r="N45" s="7"/>
      <c r="O45" s="7"/>
      <c r="P45" s="7"/>
      <c r="Q45" s="7"/>
      <c r="R45" s="7"/>
      <c r="S45" s="7">
        <f>Table1[[#This Row],[Population projection 2020]]*0.07</f>
        <v>3624.0030356353254</v>
      </c>
    </row>
    <row r="46" spans="1:19" x14ac:dyDescent="0.2">
      <c r="A46" s="3" t="s">
        <v>35</v>
      </c>
      <c r="B46" s="3" t="s">
        <v>42</v>
      </c>
      <c r="C46" s="7">
        <v>33102.255414022919</v>
      </c>
      <c r="D46" s="7">
        <f>Table1[[#This Row],[Population projection 2020]]*0.5</f>
        <v>16551.127707011459</v>
      </c>
      <c r="E46" s="7">
        <f>Table1[[#This Row],[Population projection 2020]]*0.5</f>
        <v>16551.127707011459</v>
      </c>
      <c r="F46" s="7">
        <f>Table1[[#This Row],[Population projection 2020]]*0.08</f>
        <v>2648.1804331218336</v>
      </c>
      <c r="G46" s="7">
        <f>Table1[[#This Row],[Population projection 2020]]*0.15</f>
        <v>4965.3383121034376</v>
      </c>
      <c r="H46" s="7">
        <f>Table1[[#This Row],[Population projection 2020]]*0.52</f>
        <v>17213.172815291917</v>
      </c>
      <c r="I46" s="7">
        <f>Table1[[#This Row],[Female]]*0.49</f>
        <v>8110.0525764356153</v>
      </c>
      <c r="J46" s="7">
        <f>Table1[[#This Row],[Male]]*0.5</f>
        <v>8275.5638535057296</v>
      </c>
      <c r="K46" s="7">
        <f>Table1[[#This Row],[Population projection 2020]]*0.04</f>
        <v>1324.0902165609168</v>
      </c>
      <c r="L46" s="23">
        <f>SUM(Table1[[#This Row],[IDPs / Migrants Male]:[IDPs / Migrants Female]])</f>
        <v>0</v>
      </c>
      <c r="M46" s="7"/>
      <c r="N46" s="7"/>
      <c r="O46" s="7"/>
      <c r="P46" s="7"/>
      <c r="Q46" s="7"/>
      <c r="R46" s="7"/>
      <c r="S46" s="7">
        <f>Table1[[#This Row],[Population projection 2020]]*0.07</f>
        <v>2317.1578789816044</v>
      </c>
    </row>
    <row r="47" spans="1:19" x14ac:dyDescent="0.2">
      <c r="A47" s="3" t="s">
        <v>35</v>
      </c>
      <c r="B47" s="3" t="s">
        <v>44</v>
      </c>
      <c r="C47" s="7">
        <v>35799.142504008909</v>
      </c>
      <c r="D47" s="7">
        <f>Table1[[#This Row],[Population projection 2020]]*0.5</f>
        <v>17899.571252004454</v>
      </c>
      <c r="E47" s="7">
        <f>Table1[[#This Row],[Population projection 2020]]*0.5</f>
        <v>17899.571252004454</v>
      </c>
      <c r="F47" s="7">
        <f>Table1[[#This Row],[Population projection 2020]]*0.08</f>
        <v>2863.9314003207128</v>
      </c>
      <c r="G47" s="7">
        <f>Table1[[#This Row],[Population projection 2020]]*0.15</f>
        <v>5369.8713756013358</v>
      </c>
      <c r="H47" s="7">
        <f>Table1[[#This Row],[Population projection 2020]]*0.52</f>
        <v>18615.554102084632</v>
      </c>
      <c r="I47" s="7">
        <f>Table1[[#This Row],[Female]]*0.49</f>
        <v>8770.7899134821819</v>
      </c>
      <c r="J47" s="7">
        <f>Table1[[#This Row],[Male]]*0.5</f>
        <v>8949.7856260022272</v>
      </c>
      <c r="K47" s="7">
        <f>Table1[[#This Row],[Population projection 2020]]*0.04</f>
        <v>1431.9657001603564</v>
      </c>
      <c r="L47" s="23">
        <f>SUM(Table1[[#This Row],[IDPs / Migrants Male]:[IDPs / Migrants Female]])</f>
        <v>0</v>
      </c>
      <c r="M47" s="7"/>
      <c r="N47" s="7"/>
      <c r="O47" s="7"/>
      <c r="P47" s="7"/>
      <c r="Q47" s="7"/>
      <c r="R47" s="7"/>
      <c r="S47" s="7">
        <f>Table1[[#This Row],[Population projection 2020]]*0.07</f>
        <v>2505.9399752806239</v>
      </c>
    </row>
    <row r="48" spans="1:19" x14ac:dyDescent="0.2">
      <c r="A48" s="3" t="s">
        <v>35</v>
      </c>
      <c r="B48" s="3" t="s">
        <v>38</v>
      </c>
      <c r="C48" s="7">
        <v>192148.51220252842</v>
      </c>
      <c r="D48" s="7">
        <f>Table1[[#This Row],[Population projection 2020]]*0.5</f>
        <v>96074.256101264211</v>
      </c>
      <c r="E48" s="7">
        <f>Table1[[#This Row],[Population projection 2020]]*0.5</f>
        <v>96074.256101264211</v>
      </c>
      <c r="F48" s="7">
        <f>Table1[[#This Row],[Population projection 2020]]*0.08</f>
        <v>15371.880976202274</v>
      </c>
      <c r="G48" s="7">
        <f>Table1[[#This Row],[Population projection 2020]]*0.15</f>
        <v>28822.276830379262</v>
      </c>
      <c r="H48" s="7">
        <f>Table1[[#This Row],[Population projection 2020]]*0.52</f>
        <v>99917.22634531479</v>
      </c>
      <c r="I48" s="7">
        <f>Table1[[#This Row],[Female]]*0.49</f>
        <v>47076.385489619461</v>
      </c>
      <c r="J48" s="7">
        <f>Table1[[#This Row],[Male]]*0.5</f>
        <v>48037.128050632105</v>
      </c>
      <c r="K48" s="7">
        <f>Table1[[#This Row],[Population projection 2020]]*0.04</f>
        <v>7685.9404881011369</v>
      </c>
      <c r="L48" s="23">
        <f>SUM(Table1[[#This Row],[IDPs / Migrants Male]:[IDPs / Migrants Female]])</f>
        <v>0</v>
      </c>
      <c r="M48" s="7"/>
      <c r="N48" s="7"/>
      <c r="O48" s="7"/>
      <c r="P48" s="7"/>
      <c r="Q48" s="7"/>
      <c r="R48" s="7"/>
      <c r="S48" s="7">
        <f>Table1[[#This Row],[Population projection 2020]]*0.07</f>
        <v>13450.395854176992</v>
      </c>
    </row>
    <row r="49" spans="1:19" x14ac:dyDescent="0.2">
      <c r="A49" s="3" t="s">
        <v>35</v>
      </c>
      <c r="B49" s="3" t="s">
        <v>45</v>
      </c>
      <c r="C49" s="7">
        <v>130579.39338437033</v>
      </c>
      <c r="D49" s="7">
        <f>Table1[[#This Row],[Population projection 2020]]*0.5</f>
        <v>65289.696692185164</v>
      </c>
      <c r="E49" s="7">
        <f>Table1[[#This Row],[Population projection 2020]]*0.5</f>
        <v>65289.696692185164</v>
      </c>
      <c r="F49" s="7">
        <f>Table1[[#This Row],[Population projection 2020]]*0.08</f>
        <v>10446.351470749627</v>
      </c>
      <c r="G49" s="7">
        <f>Table1[[#This Row],[Population projection 2020]]*0.15</f>
        <v>19586.909007655548</v>
      </c>
      <c r="H49" s="7">
        <f>Table1[[#This Row],[Population projection 2020]]*0.52</f>
        <v>67901.284559872569</v>
      </c>
      <c r="I49" s="7">
        <f>Table1[[#This Row],[Female]]*0.49</f>
        <v>31991.951379170729</v>
      </c>
      <c r="J49" s="7">
        <f>Table1[[#This Row],[Male]]*0.5</f>
        <v>32644.848346092582</v>
      </c>
      <c r="K49" s="7">
        <f>Table1[[#This Row],[Population projection 2020]]*0.04</f>
        <v>5223.1757353748135</v>
      </c>
      <c r="L49" s="23">
        <f>SUM(Table1[[#This Row],[IDPs / Migrants Male]:[IDPs / Migrants Female]])</f>
        <v>0</v>
      </c>
      <c r="M49" s="7"/>
      <c r="N49" s="7"/>
      <c r="O49" s="7"/>
      <c r="P49" s="7"/>
      <c r="Q49" s="7"/>
      <c r="R49" s="7"/>
      <c r="S49" s="7">
        <f>Table1[[#This Row],[Population projection 2020]]*0.07</f>
        <v>9140.5575369059243</v>
      </c>
    </row>
    <row r="50" spans="1:19" x14ac:dyDescent="0.2">
      <c r="A50" s="3" t="s">
        <v>35</v>
      </c>
      <c r="B50" s="3" t="s">
        <v>43</v>
      </c>
      <c r="C50" s="7">
        <v>84587.143990367971</v>
      </c>
      <c r="D50" s="7">
        <f>Table1[[#This Row],[Population projection 2020]]*0.5</f>
        <v>42293.571995183986</v>
      </c>
      <c r="E50" s="7">
        <f>Table1[[#This Row],[Population projection 2020]]*0.5</f>
        <v>42293.571995183986</v>
      </c>
      <c r="F50" s="7">
        <f>Table1[[#This Row],[Population projection 2020]]*0.08</f>
        <v>6766.9715192294379</v>
      </c>
      <c r="G50" s="7">
        <f>Table1[[#This Row],[Population projection 2020]]*0.15</f>
        <v>12688.071598555196</v>
      </c>
      <c r="H50" s="7">
        <f>Table1[[#This Row],[Population projection 2020]]*0.52</f>
        <v>43985.314874991345</v>
      </c>
      <c r="I50" s="7">
        <f>Table1[[#This Row],[Female]]*0.49</f>
        <v>20723.850277640151</v>
      </c>
      <c r="J50" s="7">
        <f>Table1[[#This Row],[Male]]*0.5</f>
        <v>21146.785997591993</v>
      </c>
      <c r="K50" s="7">
        <f>Table1[[#This Row],[Population projection 2020]]*0.04</f>
        <v>3383.485759614719</v>
      </c>
      <c r="L50" s="23">
        <f>SUM(Table1[[#This Row],[IDPs / Migrants Male]:[IDPs / Migrants Female]])</f>
        <v>0</v>
      </c>
      <c r="M50" s="7"/>
      <c r="N50" s="7"/>
      <c r="O50" s="7"/>
      <c r="P50" s="7"/>
      <c r="Q50" s="7"/>
      <c r="R50" s="7"/>
      <c r="S50" s="7">
        <f>Table1[[#This Row],[Population projection 2020]]*0.07</f>
        <v>5921.1000793257581</v>
      </c>
    </row>
    <row r="51" spans="1:19" x14ac:dyDescent="0.2">
      <c r="A51" s="3" t="s">
        <v>35</v>
      </c>
      <c r="B51" s="3" t="s">
        <v>46</v>
      </c>
      <c r="C51" s="7">
        <v>141285.59712211051</v>
      </c>
      <c r="D51" s="7">
        <f>Table1[[#This Row],[Population projection 2020]]*0.5</f>
        <v>70642.798561055257</v>
      </c>
      <c r="E51" s="7">
        <f>Table1[[#This Row],[Population projection 2020]]*0.5</f>
        <v>70642.798561055257</v>
      </c>
      <c r="F51" s="7">
        <f>Table1[[#This Row],[Population projection 2020]]*0.08</f>
        <v>11302.847769768841</v>
      </c>
      <c r="G51" s="7">
        <f>Table1[[#This Row],[Population projection 2020]]*0.15</f>
        <v>21192.839568316576</v>
      </c>
      <c r="H51" s="7">
        <f>Table1[[#This Row],[Population projection 2020]]*0.52</f>
        <v>73468.510503497469</v>
      </c>
      <c r="I51" s="7">
        <f>Table1[[#This Row],[Female]]*0.49</f>
        <v>34614.971294917072</v>
      </c>
      <c r="J51" s="7">
        <f>Table1[[#This Row],[Male]]*0.5</f>
        <v>35321.399280527628</v>
      </c>
      <c r="K51" s="7">
        <f>Table1[[#This Row],[Population projection 2020]]*0.04</f>
        <v>5651.4238848844207</v>
      </c>
      <c r="L51" s="23">
        <f>SUM(Table1[[#This Row],[IDPs / Migrants Male]:[IDPs / Migrants Female]])</f>
        <v>0</v>
      </c>
      <c r="M51" s="7"/>
      <c r="N51" s="7"/>
      <c r="O51" s="7"/>
      <c r="P51" s="7"/>
      <c r="Q51" s="7"/>
      <c r="R51" s="7"/>
      <c r="S51" s="7">
        <f>Table1[[#This Row],[Population projection 2020]]*0.07</f>
        <v>9889.9917985477368</v>
      </c>
    </row>
    <row r="52" spans="1:19" x14ac:dyDescent="0.2">
      <c r="A52" s="3" t="s">
        <v>35</v>
      </c>
      <c r="B52" s="3" t="s">
        <v>39</v>
      </c>
      <c r="C52" s="7">
        <v>329157.88510817388</v>
      </c>
      <c r="D52" s="7">
        <f>Table1[[#This Row],[Population projection 2020]]*0.5</f>
        <v>164578.94255408694</v>
      </c>
      <c r="E52" s="7">
        <f>Table1[[#This Row],[Population projection 2020]]*0.5</f>
        <v>164578.94255408694</v>
      </c>
      <c r="F52" s="7">
        <f>Table1[[#This Row],[Population projection 2020]]*0.08</f>
        <v>26332.63080865391</v>
      </c>
      <c r="G52" s="7">
        <f>Table1[[#This Row],[Population projection 2020]]*0.15</f>
        <v>49373.682766226084</v>
      </c>
      <c r="H52" s="7">
        <f>Table1[[#This Row],[Population projection 2020]]*0.52</f>
        <v>171162.10025625041</v>
      </c>
      <c r="I52" s="7">
        <f>Table1[[#This Row],[Female]]*0.49</f>
        <v>80643.681851502595</v>
      </c>
      <c r="J52" s="7">
        <f>Table1[[#This Row],[Male]]*0.5</f>
        <v>82289.471277043471</v>
      </c>
      <c r="K52" s="7">
        <f>Table1[[#This Row],[Population projection 2020]]*0.04</f>
        <v>13166.315404326955</v>
      </c>
      <c r="L52" s="23">
        <f>SUM(Table1[[#This Row],[IDPs / Migrants Male]:[IDPs / Migrants Female]])</f>
        <v>0</v>
      </c>
      <c r="M52" s="7"/>
      <c r="N52" s="7"/>
      <c r="O52" s="7">
        <v>1916</v>
      </c>
      <c r="P52" s="7">
        <v>986</v>
      </c>
      <c r="Q52" s="7">
        <v>929</v>
      </c>
      <c r="R52" s="7"/>
      <c r="S52" s="7">
        <f>Table1[[#This Row],[Population projection 2020]]*0.07</f>
        <v>23041.051957572174</v>
      </c>
    </row>
    <row r="53" spans="1:19" x14ac:dyDescent="0.2">
      <c r="A53" s="3" t="s">
        <v>76</v>
      </c>
      <c r="B53" s="3" t="s">
        <v>77</v>
      </c>
      <c r="C53" s="7">
        <v>196913.64880781635</v>
      </c>
      <c r="D53" s="7">
        <f>Table1[[#This Row],[Population projection 2020]]*0.47</f>
        <v>92549.414939673676</v>
      </c>
      <c r="E53" s="7">
        <f>Table1[[#This Row],[Population projection 2020]]*0.53</f>
        <v>104364.23386814268</v>
      </c>
      <c r="F53" s="7">
        <f>Table1[[#This Row],[Population projection 2020]]*0.08</f>
        <v>15753.091904625309</v>
      </c>
      <c r="G53" s="7">
        <f>Table1[[#This Row],[Population projection 2020]]*0.16</f>
        <v>31506.183809250619</v>
      </c>
      <c r="H53" s="7">
        <f>Table1[[#This Row],[Population projection 2020]]*0.56</f>
        <v>110271.64333237716</v>
      </c>
      <c r="I53" s="7">
        <f>Table1[[#This Row],[Female]]*0.44</f>
        <v>45920.26290198278</v>
      </c>
      <c r="J53" s="7">
        <f>Table1[[#This Row],[Male]]*0.41</f>
        <v>37945.260125266206</v>
      </c>
      <c r="K53" s="7">
        <f>Table1[[#This Row],[Population projection 2020]]*0.05</f>
        <v>9845.6824403908176</v>
      </c>
      <c r="L53" s="23">
        <f>SUM(Table1[[#This Row],[IDPs / Migrants Male]:[IDPs / Migrants Female]])</f>
        <v>6438</v>
      </c>
      <c r="M53" s="7">
        <v>2531</v>
      </c>
      <c r="N53" s="7">
        <v>3907</v>
      </c>
      <c r="O53" s="7"/>
      <c r="P53" s="7"/>
      <c r="Q53" s="7"/>
      <c r="R53" s="7"/>
      <c r="S53" s="7">
        <f>Table1[[#This Row],[Population projection 2020]]*0.07</f>
        <v>13783.955416547145</v>
      </c>
    </row>
    <row r="54" spans="1:19" x14ac:dyDescent="0.2">
      <c r="A54" s="3" t="s">
        <v>76</v>
      </c>
      <c r="B54" s="3" t="s">
        <v>91</v>
      </c>
      <c r="C54" s="7">
        <v>334454.59903911548</v>
      </c>
      <c r="D54" s="7">
        <f>Table1[[#This Row],[Population projection 2020]]*0.47</f>
        <v>157193.66154838426</v>
      </c>
      <c r="E54" s="7">
        <f>Table1[[#This Row],[Population projection 2020]]*0.53</f>
        <v>177260.93749073122</v>
      </c>
      <c r="F54" s="7">
        <f>Table1[[#This Row],[Population projection 2020]]*0.08</f>
        <v>26756.367923129237</v>
      </c>
      <c r="G54" s="7">
        <f>Table1[[#This Row],[Population projection 2020]]*0.16</f>
        <v>53512.735846258474</v>
      </c>
      <c r="H54" s="7">
        <f>Table1[[#This Row],[Population projection 2020]]*0.56</f>
        <v>187294.57546190469</v>
      </c>
      <c r="I54" s="7">
        <f>Table1[[#This Row],[Female]]*0.44</f>
        <v>77994.812495921738</v>
      </c>
      <c r="J54" s="7">
        <f>Table1[[#This Row],[Male]]*0.41</f>
        <v>64449.40123483754</v>
      </c>
      <c r="K54" s="7">
        <f>Table1[[#This Row],[Population projection 2020]]*0.05</f>
        <v>16722.729951955775</v>
      </c>
      <c r="L54" s="23">
        <f>SUM(Table1[[#This Row],[IDPs / Migrants Male]:[IDPs / Migrants Female]])</f>
        <v>1543</v>
      </c>
      <c r="M54" s="7">
        <v>572</v>
      </c>
      <c r="N54" s="7">
        <v>971</v>
      </c>
      <c r="O54" s="7"/>
      <c r="P54" s="7"/>
      <c r="Q54" s="7"/>
      <c r="R54" s="7"/>
      <c r="S54" s="7">
        <f>Table1[[#This Row],[Population projection 2020]]*0.07</f>
        <v>23411.821932738087</v>
      </c>
    </row>
    <row r="55" spans="1:19" x14ac:dyDescent="0.2">
      <c r="A55" s="3" t="s">
        <v>76</v>
      </c>
      <c r="B55" s="3" t="s">
        <v>83</v>
      </c>
      <c r="C55" s="7">
        <v>36928.889470671813</v>
      </c>
      <c r="D55" s="7">
        <f>Table1[[#This Row],[Population projection 2020]]*0.47</f>
        <v>17356.578051215751</v>
      </c>
      <c r="E55" s="7">
        <f>Table1[[#This Row],[Population projection 2020]]*0.53</f>
        <v>19572.311419456062</v>
      </c>
      <c r="F55" s="7">
        <f>Table1[[#This Row],[Population projection 2020]]*0.08</f>
        <v>2954.3111576537449</v>
      </c>
      <c r="G55" s="7">
        <f>Table1[[#This Row],[Population projection 2020]]*0.16</f>
        <v>5908.6223153074898</v>
      </c>
      <c r="H55" s="7">
        <f>Table1[[#This Row],[Population projection 2020]]*0.56</f>
        <v>20680.178103576218</v>
      </c>
      <c r="I55" s="7">
        <f>Table1[[#This Row],[Female]]*0.44</f>
        <v>8611.8170245606671</v>
      </c>
      <c r="J55" s="7">
        <f>Table1[[#This Row],[Male]]*0.41</f>
        <v>7116.197000998457</v>
      </c>
      <c r="K55" s="7">
        <f>Table1[[#This Row],[Population projection 2020]]*0.05</f>
        <v>1846.4444735335908</v>
      </c>
      <c r="L55" s="23">
        <f>SUM(Table1[[#This Row],[IDPs / Migrants Male]:[IDPs / Migrants Female]])</f>
        <v>0</v>
      </c>
      <c r="M55" s="7"/>
      <c r="N55" s="7"/>
      <c r="O55" s="7"/>
      <c r="P55" s="7"/>
      <c r="Q55" s="7"/>
      <c r="R55" s="7"/>
      <c r="S55" s="7">
        <f>Table1[[#This Row],[Population projection 2020]]*0.07</f>
        <v>2585.0222629470272</v>
      </c>
    </row>
    <row r="56" spans="1:19" x14ac:dyDescent="0.2">
      <c r="A56" s="3" t="s">
        <v>76</v>
      </c>
      <c r="B56" s="3" t="s">
        <v>78</v>
      </c>
      <c r="C56" s="7">
        <v>201392.70782040147</v>
      </c>
      <c r="D56" s="7">
        <f>Table1[[#This Row],[Population projection 2020]]*0.47</f>
        <v>94654.572675588686</v>
      </c>
      <c r="E56" s="7">
        <f>Table1[[#This Row],[Population projection 2020]]*0.53</f>
        <v>106738.13514481278</v>
      </c>
      <c r="F56" s="7">
        <f>Table1[[#This Row],[Population projection 2020]]*0.08</f>
        <v>16111.416625632119</v>
      </c>
      <c r="G56" s="7">
        <f>Table1[[#This Row],[Population projection 2020]]*0.16</f>
        <v>32222.833251264237</v>
      </c>
      <c r="H56" s="7">
        <f>Table1[[#This Row],[Population projection 2020]]*0.56</f>
        <v>112779.91637942483</v>
      </c>
      <c r="I56" s="7">
        <f>Table1[[#This Row],[Female]]*0.44</f>
        <v>46964.779463717627</v>
      </c>
      <c r="J56" s="7">
        <f>Table1[[#This Row],[Male]]*0.41</f>
        <v>38808.37479699136</v>
      </c>
      <c r="K56" s="7">
        <f>Table1[[#This Row],[Population projection 2020]]*0.05</f>
        <v>10069.635391020074</v>
      </c>
      <c r="L56" s="23">
        <f>SUM(Table1[[#This Row],[IDPs / Migrants Male]:[IDPs / Migrants Female]])</f>
        <v>0</v>
      </c>
      <c r="M56" s="7"/>
      <c r="N56" s="7"/>
      <c r="O56" s="7"/>
      <c r="P56" s="7"/>
      <c r="Q56" s="7"/>
      <c r="R56" s="7"/>
      <c r="S56" s="7">
        <f>Table1[[#This Row],[Population projection 2020]]*0.07</f>
        <v>14097.489547428104</v>
      </c>
    </row>
    <row r="57" spans="1:19" x14ac:dyDescent="0.2">
      <c r="A57" s="3" t="s">
        <v>76</v>
      </c>
      <c r="B57" s="3" t="s">
        <v>79</v>
      </c>
      <c r="C57" s="7">
        <v>246309.4344578443</v>
      </c>
      <c r="D57" s="7">
        <f>Table1[[#This Row],[Population projection 2020]]*0.47</f>
        <v>115765.43419518681</v>
      </c>
      <c r="E57" s="7">
        <f>Table1[[#This Row],[Population projection 2020]]*0.53</f>
        <v>130544.00026265749</v>
      </c>
      <c r="F57" s="7">
        <f>Table1[[#This Row],[Population projection 2020]]*0.08</f>
        <v>19704.754756627543</v>
      </c>
      <c r="G57" s="7">
        <f>Table1[[#This Row],[Population projection 2020]]*0.16</f>
        <v>39409.509513255085</v>
      </c>
      <c r="H57" s="7">
        <f>Table1[[#This Row],[Population projection 2020]]*0.56</f>
        <v>137933.28329639282</v>
      </c>
      <c r="I57" s="7">
        <f>Table1[[#This Row],[Female]]*0.44</f>
        <v>57439.360115569296</v>
      </c>
      <c r="J57" s="7">
        <f>Table1[[#This Row],[Male]]*0.41</f>
        <v>47463.828020026587</v>
      </c>
      <c r="K57" s="7">
        <f>Table1[[#This Row],[Population projection 2020]]*0.05</f>
        <v>12315.471722892216</v>
      </c>
      <c r="L57" s="23">
        <f>SUM(Table1[[#This Row],[IDPs / Migrants Male]:[IDPs / Migrants Female]])</f>
        <v>1066</v>
      </c>
      <c r="M57" s="7">
        <v>386</v>
      </c>
      <c r="N57" s="7">
        <v>680</v>
      </c>
      <c r="O57" s="7"/>
      <c r="P57" s="7"/>
      <c r="Q57" s="7"/>
      <c r="R57" s="7"/>
      <c r="S57" s="7">
        <f>Table1[[#This Row],[Population projection 2020]]*0.07</f>
        <v>17241.660412049103</v>
      </c>
    </row>
    <row r="58" spans="1:19" x14ac:dyDescent="0.2">
      <c r="A58" s="3" t="s">
        <v>76</v>
      </c>
      <c r="B58" s="3" t="s">
        <v>76</v>
      </c>
      <c r="C58" s="7">
        <v>256172.3393834717</v>
      </c>
      <c r="D58" s="7">
        <f>Table1[[#This Row],[Population projection 2020]]*0.47</f>
        <v>120400.99951023169</v>
      </c>
      <c r="E58" s="7">
        <f>Table1[[#This Row],[Population projection 2020]]*0.53</f>
        <v>135771.33987324001</v>
      </c>
      <c r="F58" s="7">
        <f>Table1[[#This Row],[Population projection 2020]]*0.08</f>
        <v>20493.787150677737</v>
      </c>
      <c r="G58" s="7">
        <f>Table1[[#This Row],[Population projection 2020]]*0.16</f>
        <v>40987.574301355475</v>
      </c>
      <c r="H58" s="7">
        <f>Table1[[#This Row],[Population projection 2020]]*0.56</f>
        <v>143456.51005474417</v>
      </c>
      <c r="I58" s="7">
        <f>Table1[[#This Row],[Female]]*0.44</f>
        <v>59739.389544225603</v>
      </c>
      <c r="J58" s="7">
        <f>Table1[[#This Row],[Male]]*0.41</f>
        <v>49364.409799194989</v>
      </c>
      <c r="K58" s="7">
        <f>Table1[[#This Row],[Population projection 2020]]*0.05</f>
        <v>12808.616969173585</v>
      </c>
      <c r="L58" s="23">
        <f>SUM(Table1[[#This Row],[IDPs / Migrants Male]:[IDPs / Migrants Female]])</f>
        <v>98</v>
      </c>
      <c r="M58" s="7">
        <v>35</v>
      </c>
      <c r="N58" s="7">
        <v>63</v>
      </c>
      <c r="O58" s="7">
        <v>1829</v>
      </c>
      <c r="P58" s="7">
        <v>1178</v>
      </c>
      <c r="Q58" s="7">
        <v>651</v>
      </c>
      <c r="R58" s="7"/>
      <c r="S58" s="7">
        <f>Table1[[#This Row],[Population projection 2020]]*0.07</f>
        <v>17932.063756843021</v>
      </c>
    </row>
    <row r="59" spans="1:19" x14ac:dyDescent="0.2">
      <c r="A59" s="3" t="s">
        <v>76</v>
      </c>
      <c r="B59" s="3" t="s">
        <v>82</v>
      </c>
      <c r="C59" s="7">
        <v>106592.62940158509</v>
      </c>
      <c r="D59" s="7">
        <f>Table1[[#This Row],[Population projection 2020]]*0.47</f>
        <v>50098.535818744989</v>
      </c>
      <c r="E59" s="7">
        <f>Table1[[#This Row],[Population projection 2020]]*0.53</f>
        <v>56494.093582840098</v>
      </c>
      <c r="F59" s="7">
        <f>Table1[[#This Row],[Population projection 2020]]*0.08</f>
        <v>8527.410352126808</v>
      </c>
      <c r="G59" s="7">
        <f>Table1[[#This Row],[Population projection 2020]]*0.16</f>
        <v>17054.820704253616</v>
      </c>
      <c r="H59" s="7">
        <f>Table1[[#This Row],[Population projection 2020]]*0.56</f>
        <v>59691.872464887652</v>
      </c>
      <c r="I59" s="7">
        <f>Table1[[#This Row],[Female]]*0.44</f>
        <v>24857.401176449643</v>
      </c>
      <c r="J59" s="7">
        <f>Table1[[#This Row],[Male]]*0.41</f>
        <v>20540.399685685443</v>
      </c>
      <c r="K59" s="7">
        <f>Table1[[#This Row],[Population projection 2020]]*0.05</f>
        <v>5329.6314700792545</v>
      </c>
      <c r="L59" s="23">
        <f>SUM(Table1[[#This Row],[IDPs / Migrants Male]:[IDPs / Migrants Female]])</f>
        <v>0</v>
      </c>
      <c r="M59" s="7"/>
      <c r="N59" s="7"/>
      <c r="O59" s="7"/>
      <c r="P59" s="7"/>
      <c r="Q59" s="7"/>
      <c r="R59" s="7"/>
      <c r="S59" s="7">
        <f>Table1[[#This Row],[Population projection 2020]]*0.07</f>
        <v>7461.4840581109565</v>
      </c>
    </row>
    <row r="60" spans="1:19" x14ac:dyDescent="0.2">
      <c r="A60" s="3" t="s">
        <v>76</v>
      </c>
      <c r="B60" s="3" t="s">
        <v>80</v>
      </c>
      <c r="C60" s="7">
        <v>202537.63923331245</v>
      </c>
      <c r="D60" s="7">
        <f>Table1[[#This Row],[Population projection 2020]]*0.47</f>
        <v>95192.690439656842</v>
      </c>
      <c r="E60" s="7">
        <f>Table1[[#This Row],[Population projection 2020]]*0.53</f>
        <v>107344.94879365561</v>
      </c>
      <c r="F60" s="7">
        <f>Table1[[#This Row],[Population projection 2020]]*0.08</f>
        <v>16203.011138664997</v>
      </c>
      <c r="G60" s="7">
        <f>Table1[[#This Row],[Population projection 2020]]*0.16</f>
        <v>32406.022277329994</v>
      </c>
      <c r="H60" s="7">
        <f>Table1[[#This Row],[Population projection 2020]]*0.56</f>
        <v>113421.07797065498</v>
      </c>
      <c r="I60" s="7">
        <f>Table1[[#This Row],[Female]]*0.44</f>
        <v>47231.777469208471</v>
      </c>
      <c r="J60" s="7">
        <f>Table1[[#This Row],[Male]]*0.41</f>
        <v>39029.003080259303</v>
      </c>
      <c r="K60" s="7">
        <f>Table1[[#This Row],[Population projection 2020]]*0.05</f>
        <v>10126.881961665624</v>
      </c>
      <c r="L60" s="23">
        <f>SUM(Table1[[#This Row],[IDPs / Migrants Male]:[IDPs / Migrants Female]])</f>
        <v>0</v>
      </c>
      <c r="M60" s="7"/>
      <c r="N60" s="7"/>
      <c r="O60" s="7"/>
      <c r="P60" s="7"/>
      <c r="Q60" s="7"/>
      <c r="R60" s="7"/>
      <c r="S60" s="7">
        <f>Table1[[#This Row],[Population projection 2020]]*0.07</f>
        <v>14177.634746331873</v>
      </c>
    </row>
    <row r="61" spans="1:19" x14ac:dyDescent="0.2">
      <c r="A61" s="3" t="s">
        <v>76</v>
      </c>
      <c r="B61" s="3" t="s">
        <v>81</v>
      </c>
      <c r="C61" s="7">
        <v>219891.11238578134</v>
      </c>
      <c r="D61" s="7">
        <f>Table1[[#This Row],[Population projection 2020]]*0.47</f>
        <v>103348.82282131723</v>
      </c>
      <c r="E61" s="7">
        <f>Table1[[#This Row],[Population projection 2020]]*0.53</f>
        <v>116542.28956446411</v>
      </c>
      <c r="F61" s="7">
        <f>Table1[[#This Row],[Population projection 2020]]*0.08</f>
        <v>17591.288990862507</v>
      </c>
      <c r="G61" s="7">
        <f>Table1[[#This Row],[Population projection 2020]]*0.16</f>
        <v>35182.577981725015</v>
      </c>
      <c r="H61" s="7">
        <f>Table1[[#This Row],[Population projection 2020]]*0.56</f>
        <v>123139.02293603757</v>
      </c>
      <c r="I61" s="7">
        <f>Table1[[#This Row],[Female]]*0.44</f>
        <v>51278.607408364209</v>
      </c>
      <c r="J61" s="7">
        <f>Table1[[#This Row],[Male]]*0.41</f>
        <v>42373.017356740063</v>
      </c>
      <c r="K61" s="7">
        <f>Table1[[#This Row],[Population projection 2020]]*0.05</f>
        <v>10994.555619289067</v>
      </c>
      <c r="L61" s="23">
        <f>SUM(Table1[[#This Row],[IDPs / Migrants Male]:[IDPs / Migrants Female]])</f>
        <v>404</v>
      </c>
      <c r="M61" s="7">
        <v>165</v>
      </c>
      <c r="N61" s="7">
        <v>239</v>
      </c>
      <c r="O61" s="7"/>
      <c r="P61" s="7"/>
      <c r="Q61" s="7"/>
      <c r="R61" s="7"/>
      <c r="S61" s="7">
        <f>Table1[[#This Row],[Population projection 2020]]*0.07</f>
        <v>15392.377867004696</v>
      </c>
    </row>
    <row r="62" spans="1:19" x14ac:dyDescent="0.2">
      <c r="A62" s="3" t="s">
        <v>47</v>
      </c>
      <c r="B62" s="3" t="s">
        <v>48</v>
      </c>
      <c r="C62" s="7">
        <v>168069.27561323709</v>
      </c>
      <c r="D62" s="7">
        <f>Table1[[#This Row],[Population projection 2020]]*0.48</f>
        <v>80673.252294353792</v>
      </c>
      <c r="E62" s="7">
        <f>Table1[[#This Row],[Population projection 2020]]*0.52</f>
        <v>87396.023318883294</v>
      </c>
      <c r="F62" s="7">
        <f>Table1[[#This Row],[Population projection 2020]]*0.08</f>
        <v>13445.542049058968</v>
      </c>
      <c r="G62" s="7">
        <f>Table1[[#This Row],[Population projection 2020]]*0.15</f>
        <v>25210.391341985563</v>
      </c>
      <c r="H62" s="7">
        <f>Table1[[#This Row],[Population projection 2020]]*0.55</f>
        <v>92438.101587280398</v>
      </c>
      <c r="I62" s="7">
        <f>Table1[[#This Row],[Female]]*0.43</f>
        <v>37580.290027119816</v>
      </c>
      <c r="J62" s="7">
        <f>Table1[[#This Row],[Male]]*0.43</f>
        <v>34689.498486572127</v>
      </c>
      <c r="K62" s="7">
        <f>Table1[[#This Row],[Population projection 2020]]*0.05</f>
        <v>8403.4637806618539</v>
      </c>
      <c r="L62" s="23">
        <f>SUM(Table1[[#This Row],[IDPs / Migrants Male]:[IDPs / Migrants Female]])</f>
        <v>0</v>
      </c>
      <c r="M62" s="7"/>
      <c r="N62" s="7"/>
      <c r="O62" s="7">
        <v>1387</v>
      </c>
      <c r="P62" s="7">
        <v>854</v>
      </c>
      <c r="Q62" s="7">
        <v>533</v>
      </c>
      <c r="R62" s="7"/>
      <c r="S62" s="7">
        <f>Table1[[#This Row],[Population projection 2020]]*0.07</f>
        <v>11764.849292926598</v>
      </c>
    </row>
    <row r="63" spans="1:19" x14ac:dyDescent="0.2">
      <c r="A63" s="3" t="s">
        <v>47</v>
      </c>
      <c r="B63" s="3" t="s">
        <v>49</v>
      </c>
      <c r="C63" s="7">
        <v>74775.191835432313</v>
      </c>
      <c r="D63" s="7">
        <f>Table1[[#This Row],[Population projection 2020]]*0.48</f>
        <v>35892.092081007511</v>
      </c>
      <c r="E63" s="7">
        <f>Table1[[#This Row],[Population projection 2020]]*0.52</f>
        <v>38883.099754424802</v>
      </c>
      <c r="F63" s="7">
        <f>Table1[[#This Row],[Population projection 2020]]*0.08</f>
        <v>5982.0153468345852</v>
      </c>
      <c r="G63" s="7">
        <f>Table1[[#This Row],[Population projection 2020]]*0.15</f>
        <v>11216.278775314846</v>
      </c>
      <c r="H63" s="7">
        <f>Table1[[#This Row],[Population projection 2020]]*0.55</f>
        <v>41126.355509487774</v>
      </c>
      <c r="I63" s="7">
        <f>Table1[[#This Row],[Female]]*0.43</f>
        <v>16719.732894402663</v>
      </c>
      <c r="J63" s="7">
        <f>Table1[[#This Row],[Male]]*0.43</f>
        <v>15433.599594833229</v>
      </c>
      <c r="K63" s="7">
        <f>Table1[[#This Row],[Population projection 2020]]*0.05</f>
        <v>3738.7595917716158</v>
      </c>
      <c r="L63" s="23">
        <f>SUM(Table1[[#This Row],[IDPs / Migrants Male]:[IDPs / Migrants Female]])</f>
        <v>0</v>
      </c>
      <c r="M63" s="7"/>
      <c r="N63" s="7"/>
      <c r="O63" s="7"/>
      <c r="P63" s="7"/>
      <c r="Q63" s="7"/>
      <c r="R63" s="7"/>
      <c r="S63" s="7">
        <f>Table1[[#This Row],[Population projection 2020]]*0.07</f>
        <v>5234.2634284802625</v>
      </c>
    </row>
    <row r="64" spans="1:19" x14ac:dyDescent="0.2">
      <c r="A64" s="3" t="s">
        <v>47</v>
      </c>
      <c r="B64" s="3" t="s">
        <v>98</v>
      </c>
      <c r="C64" s="7">
        <v>75726.148899157168</v>
      </c>
      <c r="D64" s="7">
        <f>Table1[[#This Row],[Population projection 2020]]*0.48</f>
        <v>36348.551471595441</v>
      </c>
      <c r="E64" s="7">
        <f>Table1[[#This Row],[Population projection 2020]]*0.52</f>
        <v>39377.597427561726</v>
      </c>
      <c r="F64" s="7">
        <f>Table1[[#This Row],[Population projection 2020]]*0.08</f>
        <v>6058.0919119325736</v>
      </c>
      <c r="G64" s="7">
        <f>Table1[[#This Row],[Population projection 2020]]*0.15</f>
        <v>11358.922334873574</v>
      </c>
      <c r="H64" s="7">
        <f>Table1[[#This Row],[Population projection 2020]]*0.55</f>
        <v>41649.381894536447</v>
      </c>
      <c r="I64" s="7">
        <f>Table1[[#This Row],[Female]]*0.43</f>
        <v>16932.366893851544</v>
      </c>
      <c r="J64" s="7">
        <f>Table1[[#This Row],[Male]]*0.43</f>
        <v>15629.87713278604</v>
      </c>
      <c r="K64" s="7">
        <f>Table1[[#This Row],[Population projection 2020]]*0.05</f>
        <v>3786.3074449578585</v>
      </c>
      <c r="L64" s="23">
        <f>SUM(Table1[[#This Row],[IDPs / Migrants Male]:[IDPs / Migrants Female]])</f>
        <v>0</v>
      </c>
      <c r="M64" s="7"/>
      <c r="N64" s="7"/>
      <c r="O64" s="7"/>
      <c r="P64" s="7"/>
      <c r="Q64" s="7"/>
      <c r="R64" s="7"/>
      <c r="S64" s="7">
        <f>Table1[[#This Row],[Population projection 2020]]*0.07</f>
        <v>5300.8304229410023</v>
      </c>
    </row>
    <row r="65" spans="1:19" x14ac:dyDescent="0.2">
      <c r="A65" s="3" t="s">
        <v>47</v>
      </c>
      <c r="B65" s="3" t="s">
        <v>54</v>
      </c>
      <c r="C65" s="7">
        <v>45339.022801885672</v>
      </c>
      <c r="D65" s="7">
        <f>Table1[[#This Row],[Population projection 2020]]*0.48</f>
        <v>21762.730944905121</v>
      </c>
      <c r="E65" s="7">
        <f>Table1[[#This Row],[Population projection 2020]]*0.52</f>
        <v>23576.291856980552</v>
      </c>
      <c r="F65" s="7">
        <f>Table1[[#This Row],[Population projection 2020]]*0.08</f>
        <v>3627.1218241508541</v>
      </c>
      <c r="G65" s="7">
        <f>Table1[[#This Row],[Population projection 2020]]*0.15</f>
        <v>6800.8534202828505</v>
      </c>
      <c r="H65" s="7">
        <f>Table1[[#This Row],[Population projection 2020]]*0.55</f>
        <v>24936.462541037123</v>
      </c>
      <c r="I65" s="7">
        <f>Table1[[#This Row],[Female]]*0.43</f>
        <v>10137.805498501637</v>
      </c>
      <c r="J65" s="7">
        <f>Table1[[#This Row],[Male]]*0.43</f>
        <v>9357.974306309201</v>
      </c>
      <c r="K65" s="7">
        <f>Table1[[#This Row],[Population projection 2020]]*0.05</f>
        <v>2266.9511400942838</v>
      </c>
      <c r="L65" s="23">
        <f>SUM(Table1[[#This Row],[IDPs / Migrants Male]:[IDPs / Migrants Female]])</f>
        <v>0</v>
      </c>
      <c r="M65" s="7"/>
      <c r="N65" s="7"/>
      <c r="O65" s="7"/>
      <c r="P65" s="7"/>
      <c r="Q65" s="7"/>
      <c r="R65" s="7"/>
      <c r="S65" s="7">
        <f>Table1[[#This Row],[Population projection 2020]]*0.07</f>
        <v>3173.7315961319973</v>
      </c>
    </row>
    <row r="66" spans="1:19" x14ac:dyDescent="0.2">
      <c r="A66" s="3" t="s">
        <v>47</v>
      </c>
      <c r="B66" s="3" t="s">
        <v>50</v>
      </c>
      <c r="C66" s="7">
        <v>121027.7134177195</v>
      </c>
      <c r="D66" s="7">
        <f>Table1[[#This Row],[Population projection 2020]]*0.48</f>
        <v>58093.302440505358</v>
      </c>
      <c r="E66" s="7">
        <f>Table1[[#This Row],[Population projection 2020]]*0.52</f>
        <v>62934.410977214138</v>
      </c>
      <c r="F66" s="7">
        <f>Table1[[#This Row],[Population projection 2020]]*0.08</f>
        <v>9682.2170734175597</v>
      </c>
      <c r="G66" s="7">
        <f>Table1[[#This Row],[Population projection 2020]]*0.15</f>
        <v>18154.157012657924</v>
      </c>
      <c r="H66" s="7">
        <f>Table1[[#This Row],[Population projection 2020]]*0.55</f>
        <v>66565.24237974573</v>
      </c>
      <c r="I66" s="7">
        <f>Table1[[#This Row],[Female]]*0.43</f>
        <v>27061.796720202077</v>
      </c>
      <c r="J66" s="7">
        <f>Table1[[#This Row],[Male]]*0.43</f>
        <v>24980.120049417303</v>
      </c>
      <c r="K66" s="7">
        <f>Table1[[#This Row],[Population projection 2020]]*0.05</f>
        <v>6051.3856708859748</v>
      </c>
      <c r="L66" s="23">
        <f>SUM(Table1[[#This Row],[IDPs / Migrants Male]:[IDPs / Migrants Female]])</f>
        <v>0</v>
      </c>
      <c r="M66" s="7"/>
      <c r="N66" s="7"/>
      <c r="O66" s="7"/>
      <c r="P66" s="7"/>
      <c r="Q66" s="7"/>
      <c r="R66" s="7"/>
      <c r="S66" s="7">
        <f>Table1[[#This Row],[Population projection 2020]]*0.07</f>
        <v>8471.9399392403648</v>
      </c>
    </row>
    <row r="67" spans="1:19" x14ac:dyDescent="0.2">
      <c r="A67" s="3" t="s">
        <v>47</v>
      </c>
      <c r="B67" s="3" t="s">
        <v>51</v>
      </c>
      <c r="C67" s="7">
        <v>131871.28227396708</v>
      </c>
      <c r="D67" s="7">
        <f>Table1[[#This Row],[Population projection 2020]]*0.48</f>
        <v>63298.215491504197</v>
      </c>
      <c r="E67" s="7">
        <f>Table1[[#This Row],[Population projection 2020]]*0.52</f>
        <v>68573.066782462891</v>
      </c>
      <c r="F67" s="7">
        <f>Table1[[#This Row],[Population projection 2020]]*0.08</f>
        <v>10549.702581917367</v>
      </c>
      <c r="G67" s="7">
        <f>Table1[[#This Row],[Population projection 2020]]*0.15</f>
        <v>19780.692341095062</v>
      </c>
      <c r="H67" s="7">
        <f>Table1[[#This Row],[Population projection 2020]]*0.55</f>
        <v>72529.205250681902</v>
      </c>
      <c r="I67" s="7">
        <f>Table1[[#This Row],[Female]]*0.43</f>
        <v>29486.418716459044</v>
      </c>
      <c r="J67" s="7">
        <f>Table1[[#This Row],[Male]]*0.43</f>
        <v>27218.232661346803</v>
      </c>
      <c r="K67" s="7">
        <f>Table1[[#This Row],[Population projection 2020]]*0.05</f>
        <v>6593.564113698354</v>
      </c>
      <c r="L67" s="23">
        <f>SUM(Table1[[#This Row],[IDPs / Migrants Male]:[IDPs / Migrants Female]])</f>
        <v>0</v>
      </c>
      <c r="M67" s="7"/>
      <c r="N67" s="7"/>
      <c r="O67" s="7"/>
      <c r="P67" s="7"/>
      <c r="Q67" s="7"/>
      <c r="R67" s="7"/>
      <c r="S67" s="7">
        <f>Table1[[#This Row],[Population projection 2020]]*0.07</f>
        <v>9230.9897591776971</v>
      </c>
    </row>
    <row r="68" spans="1:19" x14ac:dyDescent="0.2">
      <c r="A68" s="3" t="s">
        <v>47</v>
      </c>
      <c r="B68" s="3" t="s">
        <v>52</v>
      </c>
      <c r="C68" s="7">
        <v>139101.93928709227</v>
      </c>
      <c r="D68" s="7">
        <f>Table1[[#This Row],[Population projection 2020]]*0.48</f>
        <v>66768.930857804284</v>
      </c>
      <c r="E68" s="7">
        <f>Table1[[#This Row],[Population projection 2020]]*0.52</f>
        <v>72333.008429287991</v>
      </c>
      <c r="F68" s="7">
        <f>Table1[[#This Row],[Population projection 2020]]*0.08</f>
        <v>11128.155142967382</v>
      </c>
      <c r="G68" s="7">
        <f>Table1[[#This Row],[Population projection 2020]]*0.15</f>
        <v>20865.29089306384</v>
      </c>
      <c r="H68" s="7">
        <f>Table1[[#This Row],[Population projection 2020]]*0.55</f>
        <v>76506.066607900764</v>
      </c>
      <c r="I68" s="7">
        <f>Table1[[#This Row],[Female]]*0.43</f>
        <v>31103.193624593834</v>
      </c>
      <c r="J68" s="7">
        <f>Table1[[#This Row],[Male]]*0.43</f>
        <v>28710.640268855841</v>
      </c>
      <c r="K68" s="7">
        <f>Table1[[#This Row],[Population projection 2020]]*0.05</f>
        <v>6955.0969643546141</v>
      </c>
      <c r="L68" s="23">
        <f>SUM(Table1[[#This Row],[IDPs / Migrants Male]:[IDPs / Migrants Female]])</f>
        <v>0</v>
      </c>
      <c r="M68" s="7"/>
      <c r="N68" s="7"/>
      <c r="O68" s="7"/>
      <c r="P68" s="7"/>
      <c r="Q68" s="7"/>
      <c r="R68" s="7"/>
      <c r="S68" s="7">
        <f>Table1[[#This Row],[Population projection 2020]]*0.07</f>
        <v>9737.1357500964605</v>
      </c>
    </row>
    <row r="69" spans="1:19" x14ac:dyDescent="0.2">
      <c r="A69" s="3" t="s">
        <v>47</v>
      </c>
      <c r="B69" s="3" t="s">
        <v>53</v>
      </c>
      <c r="C69" s="7">
        <v>108371.64698131017</v>
      </c>
      <c r="D69" s="7">
        <f>Table1[[#This Row],[Population projection 2020]]*0.48</f>
        <v>52018.390551028882</v>
      </c>
      <c r="E69" s="7">
        <f>Table1[[#This Row],[Population projection 2020]]*0.52</f>
        <v>56353.25643028129</v>
      </c>
      <c r="F69" s="7">
        <f>Table1[[#This Row],[Population projection 2020]]*0.08</f>
        <v>8669.7317585048131</v>
      </c>
      <c r="G69" s="7">
        <f>Table1[[#This Row],[Population projection 2020]]*0.15</f>
        <v>16255.747047196524</v>
      </c>
      <c r="H69" s="7">
        <f>Table1[[#This Row],[Population projection 2020]]*0.55</f>
        <v>59604.405839720603</v>
      </c>
      <c r="I69" s="7">
        <f>Table1[[#This Row],[Female]]*0.43</f>
        <v>24231.900265020955</v>
      </c>
      <c r="J69" s="7">
        <f>Table1[[#This Row],[Male]]*0.43</f>
        <v>22367.907936942418</v>
      </c>
      <c r="K69" s="7">
        <f>Table1[[#This Row],[Population projection 2020]]*0.05</f>
        <v>5418.5823490655093</v>
      </c>
      <c r="L69" s="23">
        <f>SUM(Table1[[#This Row],[IDPs / Migrants Male]:[IDPs / Migrants Female]])</f>
        <v>0</v>
      </c>
      <c r="M69" s="7"/>
      <c r="N69" s="7"/>
      <c r="O69" s="7"/>
      <c r="P69" s="7"/>
      <c r="Q69" s="7"/>
      <c r="R69" s="7"/>
      <c r="S69" s="7">
        <f>Table1[[#This Row],[Population projection 2020]]*0.07</f>
        <v>7586.0152886917131</v>
      </c>
    </row>
    <row r="70" spans="1:19" x14ac:dyDescent="0.2">
      <c r="A70" s="3" t="s">
        <v>47</v>
      </c>
      <c r="B70" s="3" t="s">
        <v>55</v>
      </c>
      <c r="C70" s="7">
        <v>40778.778890198751</v>
      </c>
      <c r="D70" s="7">
        <f>Table1[[#This Row],[Population projection 2020]]*0.48</f>
        <v>19573.813867295401</v>
      </c>
      <c r="E70" s="7">
        <f>Table1[[#This Row],[Population projection 2020]]*0.52</f>
        <v>21204.96502290335</v>
      </c>
      <c r="F70" s="7">
        <f>Table1[[#This Row],[Population projection 2020]]*0.08</f>
        <v>3262.3023112159003</v>
      </c>
      <c r="G70" s="7">
        <f>Table1[[#This Row],[Population projection 2020]]*0.15</f>
        <v>6116.8168335298124</v>
      </c>
      <c r="H70" s="7">
        <f>Table1[[#This Row],[Population projection 2020]]*0.55</f>
        <v>22428.328389609316</v>
      </c>
      <c r="I70" s="7">
        <f>Table1[[#This Row],[Female]]*0.43</f>
        <v>9118.1349598484412</v>
      </c>
      <c r="J70" s="7">
        <f>Table1[[#This Row],[Male]]*0.43</f>
        <v>8416.7399629370229</v>
      </c>
      <c r="K70" s="7">
        <f>Table1[[#This Row],[Population projection 2020]]*0.05</f>
        <v>2038.9389445099378</v>
      </c>
      <c r="L70" s="23">
        <f>SUM(Table1[[#This Row],[IDPs / Migrants Male]:[IDPs / Migrants Female]])</f>
        <v>0</v>
      </c>
      <c r="M70" s="7"/>
      <c r="N70" s="7"/>
      <c r="O70" s="7"/>
      <c r="P70" s="7"/>
      <c r="Q70" s="7"/>
      <c r="R70" s="7"/>
      <c r="S70" s="7">
        <f>Table1[[#This Row],[Population projection 2020]]*0.07</f>
        <v>2854.5145223139129</v>
      </c>
    </row>
    <row r="71" spans="1:19" x14ac:dyDescent="0.2">
      <c r="A71" s="3" t="s">
        <v>56</v>
      </c>
      <c r="B71" s="3" t="s">
        <v>97</v>
      </c>
      <c r="C71" s="7">
        <v>96543.568115187605</v>
      </c>
      <c r="D71" s="7">
        <f>Table1[[#This Row],[Population projection 2020]]*0.48</f>
        <v>46340.912695290048</v>
      </c>
      <c r="E71" s="7">
        <f>Table1[[#This Row],[Population projection 2020]]*0.52</f>
        <v>50202.655419897557</v>
      </c>
      <c r="F71" s="7">
        <f>Table1[[#This Row],[Population projection 2020]]*0.08</f>
        <v>7723.4854492150089</v>
      </c>
      <c r="G71" s="7">
        <f>Table1[[#This Row],[Population projection 2020]]*0.15</f>
        <v>14481.53521727814</v>
      </c>
      <c r="H71" s="7">
        <f>Table1[[#This Row],[Population projection 2020]]*0.55</f>
        <v>53098.962463353186</v>
      </c>
      <c r="I71" s="7">
        <f>Table1[[#This Row],[Female]]*0.43</f>
        <v>21587.141830555949</v>
      </c>
      <c r="J71" s="7">
        <f>Table1[[#This Row],[Male]]*0.43</f>
        <v>19926.592458974719</v>
      </c>
      <c r="K71" s="7">
        <f>Table1[[#This Row],[Population projection 2020]]*0.06</f>
        <v>5792.614086911256</v>
      </c>
      <c r="L71" s="23">
        <f>SUM(Table1[[#This Row],[IDPs / Migrants Male]:[IDPs / Migrants Female]])</f>
        <v>0</v>
      </c>
      <c r="M71" s="7"/>
      <c r="N71" s="7"/>
      <c r="O71" s="7">
        <v>3082</v>
      </c>
      <c r="P71" s="7">
        <v>2020</v>
      </c>
      <c r="Q71" s="7">
        <v>1062</v>
      </c>
      <c r="R71" s="7"/>
      <c r="S71" s="7">
        <f>Table1[[#This Row],[Population projection 2020]]*0.07</f>
        <v>6758.0497680631333</v>
      </c>
    </row>
    <row r="72" spans="1:19" x14ac:dyDescent="0.2">
      <c r="A72" s="3" t="s">
        <v>56</v>
      </c>
      <c r="B72" s="3" t="s">
        <v>64</v>
      </c>
      <c r="C72" s="7">
        <v>50798.001194631324</v>
      </c>
      <c r="D72" s="7">
        <f>Table1[[#This Row],[Population projection 2020]]*0.48</f>
        <v>24383.040573423033</v>
      </c>
      <c r="E72" s="7">
        <f>Table1[[#This Row],[Population projection 2020]]*0.52</f>
        <v>26414.960621208291</v>
      </c>
      <c r="F72" s="7">
        <f>Table1[[#This Row],[Population projection 2020]]*0.08</f>
        <v>4063.840095570506</v>
      </c>
      <c r="G72" s="7">
        <f>Table1[[#This Row],[Population projection 2020]]*0.15</f>
        <v>7619.7001791946986</v>
      </c>
      <c r="H72" s="7">
        <f>Table1[[#This Row],[Population projection 2020]]*0.55</f>
        <v>27938.90065704723</v>
      </c>
      <c r="I72" s="7">
        <f>Table1[[#This Row],[Female]]*0.43</f>
        <v>11358.433067119566</v>
      </c>
      <c r="J72" s="7">
        <f>Table1[[#This Row],[Male]]*0.43</f>
        <v>10484.707446571903</v>
      </c>
      <c r="K72" s="7">
        <f>Table1[[#This Row],[Population projection 2020]]*0.06</f>
        <v>3047.8800716778792</v>
      </c>
      <c r="L72" s="23">
        <f>SUM(Table1[[#This Row],[IDPs / Migrants Male]:[IDPs / Migrants Female]])</f>
        <v>0</v>
      </c>
      <c r="M72" s="7"/>
      <c r="N72" s="7"/>
      <c r="O72" s="7"/>
      <c r="P72" s="7"/>
      <c r="Q72" s="7"/>
      <c r="R72" s="7"/>
      <c r="S72" s="7">
        <f>Table1[[#This Row],[Population projection 2020]]*0.07</f>
        <v>3555.8600836241931</v>
      </c>
    </row>
    <row r="73" spans="1:19" x14ac:dyDescent="0.2">
      <c r="A73" s="3" t="s">
        <v>56</v>
      </c>
      <c r="B73" s="3" t="s">
        <v>57</v>
      </c>
      <c r="C73" s="7">
        <v>109175.25657230006</v>
      </c>
      <c r="D73" s="7">
        <f>Table1[[#This Row],[Population projection 2020]]*0.48</f>
        <v>52404.12315470403</v>
      </c>
      <c r="E73" s="7">
        <f>Table1[[#This Row],[Population projection 2020]]*0.52</f>
        <v>56771.133417596029</v>
      </c>
      <c r="F73" s="7">
        <f>Table1[[#This Row],[Population projection 2020]]*0.08</f>
        <v>8734.0205257840043</v>
      </c>
      <c r="G73" s="7">
        <f>Table1[[#This Row],[Population projection 2020]]*0.15</f>
        <v>16376.288485845009</v>
      </c>
      <c r="H73" s="7">
        <f>Table1[[#This Row],[Population projection 2020]]*0.55</f>
        <v>60046.391114765036</v>
      </c>
      <c r="I73" s="7">
        <f>Table1[[#This Row],[Female]]*0.43</f>
        <v>24411.587369566292</v>
      </c>
      <c r="J73" s="7">
        <f>Table1[[#This Row],[Male]]*0.43</f>
        <v>22533.772956522731</v>
      </c>
      <c r="K73" s="7">
        <f>Table1[[#This Row],[Population projection 2020]]*0.06</f>
        <v>6550.5153943380037</v>
      </c>
      <c r="L73" s="23">
        <f>SUM(Table1[[#This Row],[IDPs / Migrants Male]:[IDPs / Migrants Female]])</f>
        <v>0</v>
      </c>
      <c r="M73" s="7"/>
      <c r="N73" s="7"/>
      <c r="O73" s="7"/>
      <c r="P73" s="7"/>
      <c r="Q73" s="7"/>
      <c r="R73" s="7"/>
      <c r="S73" s="7">
        <f>Table1[[#This Row],[Population projection 2020]]*0.07</f>
        <v>7642.2679600610045</v>
      </c>
    </row>
    <row r="74" spans="1:19" x14ac:dyDescent="0.2">
      <c r="A74" s="3" t="s">
        <v>56</v>
      </c>
      <c r="B74" s="3" t="s">
        <v>59</v>
      </c>
      <c r="C74" s="7">
        <v>139575.45583007869</v>
      </c>
      <c r="D74" s="7">
        <f>Table1[[#This Row],[Population projection 2020]]*0.48</f>
        <v>66996.218798437767</v>
      </c>
      <c r="E74" s="7">
        <f>Table1[[#This Row],[Population projection 2020]]*0.52</f>
        <v>72579.237031640921</v>
      </c>
      <c r="F74" s="7">
        <f>Table1[[#This Row],[Population projection 2020]]*0.08</f>
        <v>11166.036466406294</v>
      </c>
      <c r="G74" s="7">
        <f>Table1[[#This Row],[Population projection 2020]]*0.15</f>
        <v>20936.318374511804</v>
      </c>
      <c r="H74" s="7">
        <f>Table1[[#This Row],[Population projection 2020]]*0.55</f>
        <v>76766.500706543287</v>
      </c>
      <c r="I74" s="7">
        <f>Table1[[#This Row],[Female]]*0.43</f>
        <v>31209.071923605596</v>
      </c>
      <c r="J74" s="7">
        <f>Table1[[#This Row],[Male]]*0.43</f>
        <v>28808.374083328239</v>
      </c>
      <c r="K74" s="7">
        <f>Table1[[#This Row],[Population projection 2020]]*0.06</f>
        <v>8374.5273498047209</v>
      </c>
      <c r="L74" s="23">
        <f>SUM(Table1[[#This Row],[IDPs / Migrants Male]:[IDPs / Migrants Female]])</f>
        <v>0</v>
      </c>
      <c r="M74" s="7"/>
      <c r="N74" s="7"/>
      <c r="O74" s="7"/>
      <c r="P74" s="7"/>
      <c r="Q74" s="7"/>
      <c r="R74" s="7"/>
      <c r="S74" s="7">
        <f>Table1[[#This Row],[Population projection 2020]]*0.07</f>
        <v>9770.2819081055095</v>
      </c>
    </row>
    <row r="75" spans="1:19" x14ac:dyDescent="0.2">
      <c r="A75" s="3" t="s">
        <v>56</v>
      </c>
      <c r="B75" s="3" t="s">
        <v>63</v>
      </c>
      <c r="C75" s="7">
        <v>24384.535447796658</v>
      </c>
      <c r="D75" s="7">
        <f>Table1[[#This Row],[Population projection 2020]]*0.48</f>
        <v>11704.577014942395</v>
      </c>
      <c r="E75" s="7">
        <f>Table1[[#This Row],[Population projection 2020]]*0.52</f>
        <v>12679.958432854262</v>
      </c>
      <c r="F75" s="7">
        <f>Table1[[#This Row],[Population projection 2020]]*0.08</f>
        <v>1950.7628358237325</v>
      </c>
      <c r="G75" s="7">
        <f>Table1[[#This Row],[Population projection 2020]]*0.15</f>
        <v>3657.6803171694987</v>
      </c>
      <c r="H75" s="7">
        <f>Table1[[#This Row],[Population projection 2020]]*0.55</f>
        <v>13411.494496288162</v>
      </c>
      <c r="I75" s="7">
        <f>Table1[[#This Row],[Female]]*0.43</f>
        <v>5452.3821261273324</v>
      </c>
      <c r="J75" s="7">
        <f>Table1[[#This Row],[Male]]*0.43</f>
        <v>5032.9681164252297</v>
      </c>
      <c r="K75" s="7">
        <f>Table1[[#This Row],[Population projection 2020]]*0.06</f>
        <v>1463.0721268677994</v>
      </c>
      <c r="L75" s="23">
        <f>SUM(Table1[[#This Row],[IDPs / Migrants Male]:[IDPs / Migrants Female]])</f>
        <v>0</v>
      </c>
      <c r="M75" s="7"/>
      <c r="N75" s="7"/>
      <c r="O75" s="7"/>
      <c r="P75" s="7"/>
      <c r="Q75" s="7"/>
      <c r="R75" s="7"/>
      <c r="S75" s="7">
        <f>Table1[[#This Row],[Population projection 2020]]*0.07</f>
        <v>1706.9174813457662</v>
      </c>
    </row>
    <row r="76" spans="1:19" x14ac:dyDescent="0.2">
      <c r="A76" s="3" t="s">
        <v>56</v>
      </c>
      <c r="B76" s="3" t="s">
        <v>60</v>
      </c>
      <c r="C76" s="7">
        <v>120955.83107152727</v>
      </c>
      <c r="D76" s="7">
        <f>Table1[[#This Row],[Population projection 2020]]*0.48</f>
        <v>58058.798914333085</v>
      </c>
      <c r="E76" s="7">
        <f>Table1[[#This Row],[Population projection 2020]]*0.52</f>
        <v>62897.032157194182</v>
      </c>
      <c r="F76" s="7">
        <f>Table1[[#This Row],[Population projection 2020]]*0.08</f>
        <v>9676.4664857221815</v>
      </c>
      <c r="G76" s="7">
        <f>Table1[[#This Row],[Population projection 2020]]*0.15</f>
        <v>18143.374660729089</v>
      </c>
      <c r="H76" s="7">
        <f>Table1[[#This Row],[Population projection 2020]]*0.55</f>
        <v>66525.707089340009</v>
      </c>
      <c r="I76" s="7">
        <f>Table1[[#This Row],[Female]]*0.43</f>
        <v>27045.723827593498</v>
      </c>
      <c r="J76" s="7">
        <f>Table1[[#This Row],[Male]]*0.43</f>
        <v>24965.283533163227</v>
      </c>
      <c r="K76" s="7">
        <f>Table1[[#This Row],[Population projection 2020]]*0.06</f>
        <v>7257.3498642916356</v>
      </c>
      <c r="L76" s="23">
        <f>SUM(Table1[[#This Row],[IDPs / Migrants Male]:[IDPs / Migrants Female]])</f>
        <v>0</v>
      </c>
      <c r="M76" s="7"/>
      <c r="N76" s="7"/>
      <c r="O76" s="7"/>
      <c r="P76" s="7"/>
      <c r="Q76" s="7"/>
      <c r="R76" s="7"/>
      <c r="S76" s="7">
        <f>Table1[[#This Row],[Population projection 2020]]*0.07</f>
        <v>8466.908175006909</v>
      </c>
    </row>
    <row r="77" spans="1:19" x14ac:dyDescent="0.2">
      <c r="A77" s="3" t="s">
        <v>56</v>
      </c>
      <c r="B77" s="3" t="s">
        <v>58</v>
      </c>
      <c r="C77" s="7">
        <v>79828.702639155541</v>
      </c>
      <c r="D77" s="7">
        <f>Table1[[#This Row],[Population projection 2020]]*0.48</f>
        <v>38317.777266794656</v>
      </c>
      <c r="E77" s="7">
        <f>Table1[[#This Row],[Population projection 2020]]*0.52</f>
        <v>41510.925372360885</v>
      </c>
      <c r="F77" s="7">
        <f>Table1[[#This Row],[Population projection 2020]]*0.08</f>
        <v>6386.2962111324432</v>
      </c>
      <c r="G77" s="7">
        <f>Table1[[#This Row],[Population projection 2020]]*0.15</f>
        <v>11974.305395873331</v>
      </c>
      <c r="H77" s="7">
        <f>Table1[[#This Row],[Population projection 2020]]*0.55</f>
        <v>43905.786451535554</v>
      </c>
      <c r="I77" s="7">
        <f>Table1[[#This Row],[Female]]*0.43</f>
        <v>17849.697910115181</v>
      </c>
      <c r="J77" s="7">
        <f>Table1[[#This Row],[Male]]*0.43</f>
        <v>16476.644224721702</v>
      </c>
      <c r="K77" s="7">
        <f>Table1[[#This Row],[Population projection 2020]]*0.06</f>
        <v>4789.7221583493319</v>
      </c>
      <c r="L77" s="23">
        <f>SUM(Table1[[#This Row],[IDPs / Migrants Male]:[IDPs / Migrants Female]])</f>
        <v>0</v>
      </c>
      <c r="M77" s="7"/>
      <c r="N77" s="7"/>
      <c r="O77" s="7"/>
      <c r="P77" s="7"/>
      <c r="Q77" s="7"/>
      <c r="R77" s="7"/>
      <c r="S77" s="7">
        <f>Table1[[#This Row],[Population projection 2020]]*0.07</f>
        <v>5588.0091847408885</v>
      </c>
    </row>
    <row r="78" spans="1:19" x14ac:dyDescent="0.2">
      <c r="A78" s="3" t="s">
        <v>56</v>
      </c>
      <c r="B78" s="3" t="s">
        <v>61</v>
      </c>
      <c r="C78" s="7">
        <v>113248.78924042211</v>
      </c>
      <c r="D78" s="7">
        <f>Table1[[#This Row],[Population projection 2020]]*0.48</f>
        <v>54359.418835402612</v>
      </c>
      <c r="E78" s="7">
        <f>Table1[[#This Row],[Population projection 2020]]*0.52</f>
        <v>58889.370405019494</v>
      </c>
      <c r="F78" s="7">
        <f>Table1[[#This Row],[Population projection 2020]]*0.08</f>
        <v>9059.9031392337693</v>
      </c>
      <c r="G78" s="7">
        <f>Table1[[#This Row],[Population projection 2020]]*0.15</f>
        <v>16987.318386063314</v>
      </c>
      <c r="H78" s="7">
        <f>Table1[[#This Row],[Population projection 2020]]*0.55</f>
        <v>62286.834082232162</v>
      </c>
      <c r="I78" s="7">
        <f>Table1[[#This Row],[Female]]*0.43</f>
        <v>25322.429274158381</v>
      </c>
      <c r="J78" s="7">
        <f>Table1[[#This Row],[Male]]*0.43</f>
        <v>23374.550099223125</v>
      </c>
      <c r="K78" s="7">
        <f>Table1[[#This Row],[Population projection 2020]]*0.06</f>
        <v>6794.9273544253265</v>
      </c>
      <c r="L78" s="23">
        <f>SUM(Table1[[#This Row],[IDPs / Migrants Male]:[IDPs / Migrants Female]])</f>
        <v>0</v>
      </c>
      <c r="M78" s="7"/>
      <c r="N78" s="7"/>
      <c r="O78" s="7"/>
      <c r="P78" s="7"/>
      <c r="Q78" s="7"/>
      <c r="R78" s="7"/>
      <c r="S78" s="7">
        <f>Table1[[#This Row],[Population projection 2020]]*0.07</f>
        <v>7927.4152468295479</v>
      </c>
    </row>
    <row r="79" spans="1:19" x14ac:dyDescent="0.2">
      <c r="A79" s="3" t="s">
        <v>56</v>
      </c>
      <c r="B79" s="3" t="s">
        <v>65</v>
      </c>
      <c r="C79" s="7">
        <v>14015.652796563205</v>
      </c>
      <c r="D79" s="7">
        <f>Table1[[#This Row],[Population projection 2020]]*0.48</f>
        <v>6727.5133423503385</v>
      </c>
      <c r="E79" s="7">
        <f>Table1[[#This Row],[Population projection 2020]]*0.52</f>
        <v>7288.1394542128664</v>
      </c>
      <c r="F79" s="7">
        <f>Table1[[#This Row],[Population projection 2020]]*0.08</f>
        <v>1121.2522237250564</v>
      </c>
      <c r="G79" s="7">
        <f>Table1[[#This Row],[Population projection 2020]]*0.15</f>
        <v>2102.3479194844808</v>
      </c>
      <c r="H79" s="7">
        <f>Table1[[#This Row],[Population projection 2020]]*0.55</f>
        <v>7708.6090381097629</v>
      </c>
      <c r="I79" s="7">
        <f>Table1[[#This Row],[Female]]*0.43</f>
        <v>3133.8999653115325</v>
      </c>
      <c r="J79" s="7">
        <f>Table1[[#This Row],[Male]]*0.43</f>
        <v>2892.8307372106456</v>
      </c>
      <c r="K79" s="7">
        <f>Table1[[#This Row],[Population projection 2020]]*0.06</f>
        <v>840.93916779379231</v>
      </c>
      <c r="L79" s="23">
        <f>SUM(Table1[[#This Row],[IDPs / Migrants Male]:[IDPs / Migrants Female]])</f>
        <v>0</v>
      </c>
      <c r="M79" s="7"/>
      <c r="N79" s="7"/>
      <c r="O79" s="7"/>
      <c r="P79" s="7"/>
      <c r="Q79" s="7"/>
      <c r="R79" s="7"/>
      <c r="S79" s="7">
        <f>Table1[[#This Row],[Population projection 2020]]*0.07</f>
        <v>981.09569575942442</v>
      </c>
    </row>
    <row r="80" spans="1:19" x14ac:dyDescent="0.2">
      <c r="A80" s="3" t="s">
        <v>56</v>
      </c>
      <c r="B80" s="3" t="s">
        <v>62</v>
      </c>
      <c r="C80" s="7">
        <v>75937.207092337543</v>
      </c>
      <c r="D80" s="7">
        <f>Table1[[#This Row],[Population projection 2020]]*0.48</f>
        <v>36449.859404322022</v>
      </c>
      <c r="E80" s="7">
        <f>Table1[[#This Row],[Population projection 2020]]*0.52</f>
        <v>39487.347688015521</v>
      </c>
      <c r="F80" s="7">
        <f>Table1[[#This Row],[Population projection 2020]]*0.08</f>
        <v>6074.9765673870033</v>
      </c>
      <c r="G80" s="7">
        <f>Table1[[#This Row],[Population projection 2020]]*0.15</f>
        <v>11390.581063850632</v>
      </c>
      <c r="H80" s="7">
        <f>Table1[[#This Row],[Population projection 2020]]*0.55</f>
        <v>41765.463900785653</v>
      </c>
      <c r="I80" s="7">
        <f>Table1[[#This Row],[Female]]*0.43</f>
        <v>16979.559505846675</v>
      </c>
      <c r="J80" s="7">
        <f>Table1[[#This Row],[Male]]*0.43</f>
        <v>15673.439543858469</v>
      </c>
      <c r="K80" s="7">
        <f>Table1[[#This Row],[Population projection 2020]]*0.06</f>
        <v>4556.2324255402527</v>
      </c>
      <c r="L80" s="23">
        <f>SUM(Table1[[#This Row],[IDPs / Migrants Male]:[IDPs / Migrants Female]])</f>
        <v>0</v>
      </c>
      <c r="M80" s="7"/>
      <c r="N80" s="7"/>
      <c r="O80" s="7"/>
      <c r="P80" s="7"/>
      <c r="Q80" s="7"/>
      <c r="R80" s="7"/>
      <c r="S80" s="7">
        <f>Table1[[#This Row],[Population projection 2020]]*0.07</f>
        <v>5315.6044964636285</v>
      </c>
    </row>
    <row r="81" spans="1:19" x14ac:dyDescent="0.2">
      <c r="A81" s="3" t="s">
        <v>66</v>
      </c>
      <c r="B81" s="3" t="s">
        <v>67</v>
      </c>
      <c r="C81" s="7">
        <v>99073.36746915213</v>
      </c>
      <c r="D81" s="7">
        <f>Table1[[#This Row],[Population projection 2020]]*0.48</f>
        <v>47555.216385193024</v>
      </c>
      <c r="E81" s="7">
        <f>Table1[[#This Row],[Population projection 2020]]*0.52</f>
        <v>51518.151083959106</v>
      </c>
      <c r="F81" s="7">
        <f>Table1[[#This Row],[Population projection 2020]]*0.08</f>
        <v>7925.8693975321703</v>
      </c>
      <c r="G81" s="7">
        <f>Table1[[#This Row],[Population projection 2020]]*0.15</f>
        <v>14861.005120372818</v>
      </c>
      <c r="H81" s="7">
        <f>Table1[[#This Row],[Population projection 2020]]*0.54</f>
        <v>53499.618433342155</v>
      </c>
      <c r="I81" s="7">
        <f>Table1[[#This Row],[Female]]*0.47</f>
        <v>24213.531009460778</v>
      </c>
      <c r="J81" s="7">
        <f>Table1[[#This Row],[Male]]*0.46</f>
        <v>21875.39953718879</v>
      </c>
      <c r="K81" s="7">
        <f>Table1[[#This Row],[Population projection 2020]]*0.04</f>
        <v>3962.9346987660851</v>
      </c>
      <c r="L81" s="23">
        <f>SUM(Table1[[#This Row],[IDPs / Migrants Male]:[IDPs / Migrants Female]])</f>
        <v>0</v>
      </c>
      <c r="M81" s="7"/>
      <c r="N81" s="7"/>
      <c r="O81" s="7"/>
      <c r="P81" s="7"/>
      <c r="Q81" s="7"/>
      <c r="R81" s="7"/>
      <c r="S81" s="7">
        <f>Table1[[#This Row],[Population projection 2020]]*0.07</f>
        <v>6935.1357228406496</v>
      </c>
    </row>
    <row r="82" spans="1:19" x14ac:dyDescent="0.2">
      <c r="A82" s="3" t="s">
        <v>66</v>
      </c>
      <c r="B82" s="3" t="s">
        <v>68</v>
      </c>
      <c r="C82" s="7">
        <v>296355.76430841745</v>
      </c>
      <c r="D82" s="7">
        <f>Table1[[#This Row],[Population projection 2020]]*0.48</f>
        <v>142250.76686804037</v>
      </c>
      <c r="E82" s="7">
        <f>Table1[[#This Row],[Population projection 2020]]*0.52</f>
        <v>154104.99744037708</v>
      </c>
      <c r="F82" s="7">
        <f>Table1[[#This Row],[Population projection 2020]]*0.08</f>
        <v>23708.461144673398</v>
      </c>
      <c r="G82" s="7">
        <f>Table1[[#This Row],[Population projection 2020]]*0.15</f>
        <v>44453.364646262613</v>
      </c>
      <c r="H82" s="7">
        <f>Table1[[#This Row],[Population projection 2020]]*0.54</f>
        <v>160032.11272654543</v>
      </c>
      <c r="I82" s="7">
        <f>Table1[[#This Row],[Female]]*0.47</f>
        <v>72429.348796977225</v>
      </c>
      <c r="J82" s="7">
        <f>Table1[[#This Row],[Male]]*0.46</f>
        <v>65435.352759298577</v>
      </c>
      <c r="K82" s="7">
        <f>Table1[[#This Row],[Population projection 2020]]*0.04</f>
        <v>11854.230572336699</v>
      </c>
      <c r="L82" s="23">
        <f>SUM(Table1[[#This Row],[IDPs / Migrants Male]:[IDPs / Migrants Female]])</f>
        <v>0</v>
      </c>
      <c r="M82" s="7"/>
      <c r="N82" s="7"/>
      <c r="O82" s="7"/>
      <c r="P82" s="7"/>
      <c r="Q82" s="7"/>
      <c r="R82" s="7"/>
      <c r="S82" s="7">
        <f>Table1[[#This Row],[Population projection 2020]]*0.07</f>
        <v>20744.903501589222</v>
      </c>
    </row>
    <row r="83" spans="1:19" x14ac:dyDescent="0.2">
      <c r="A83" s="3" t="s">
        <v>66</v>
      </c>
      <c r="B83" s="3" t="s">
        <v>96</v>
      </c>
      <c r="C83" s="7">
        <v>377278.03169775242</v>
      </c>
      <c r="D83" s="7">
        <f>Table1[[#This Row],[Population projection 2020]]*0.48</f>
        <v>181093.45521492115</v>
      </c>
      <c r="E83" s="7">
        <f>Table1[[#This Row],[Population projection 2020]]*0.52</f>
        <v>196184.57648283127</v>
      </c>
      <c r="F83" s="7">
        <f>Table1[[#This Row],[Population projection 2020]]*0.08</f>
        <v>30182.242535820194</v>
      </c>
      <c r="G83" s="7">
        <f>Table1[[#This Row],[Population projection 2020]]*0.15</f>
        <v>56591.70475466286</v>
      </c>
      <c r="H83" s="7">
        <f>Table1[[#This Row],[Population projection 2020]]*0.54</f>
        <v>203730.13711678633</v>
      </c>
      <c r="I83" s="7">
        <f>Table1[[#This Row],[Female]]*0.47</f>
        <v>92206.750946930697</v>
      </c>
      <c r="J83" s="7">
        <f>Table1[[#This Row],[Male]]*0.46</f>
        <v>83302.989398863734</v>
      </c>
      <c r="K83" s="7">
        <f>Table1[[#This Row],[Population projection 2020]]*0.04</f>
        <v>15091.121267910097</v>
      </c>
      <c r="L83" s="23">
        <f>SUM(Table1[[#This Row],[IDPs / Migrants Male]:[IDPs / Migrants Female]])</f>
        <v>0</v>
      </c>
      <c r="M83" s="7"/>
      <c r="N83" s="7"/>
      <c r="O83" s="7"/>
      <c r="P83" s="7"/>
      <c r="Q83" s="7"/>
      <c r="R83" s="7"/>
      <c r="S83" s="7">
        <f>Table1[[#This Row],[Population projection 2020]]*0.07</f>
        <v>26409.462218842673</v>
      </c>
    </row>
    <row r="84" spans="1:19" x14ac:dyDescent="0.2">
      <c r="A84" s="3" t="s">
        <v>66</v>
      </c>
      <c r="B84" s="3" t="s">
        <v>75</v>
      </c>
      <c r="C84" s="7">
        <v>29658.756967592006</v>
      </c>
      <c r="D84" s="7">
        <f>Table1[[#This Row],[Population projection 2020]]*0.48</f>
        <v>14236.203344444162</v>
      </c>
      <c r="E84" s="7">
        <f>Table1[[#This Row],[Population projection 2020]]*0.52</f>
        <v>15422.553623147844</v>
      </c>
      <c r="F84" s="7">
        <f>Table1[[#This Row],[Population projection 2020]]*0.08</f>
        <v>2372.7005574073605</v>
      </c>
      <c r="G84" s="7">
        <f>Table1[[#This Row],[Population projection 2020]]*0.15</f>
        <v>4448.8135451388007</v>
      </c>
      <c r="H84" s="7">
        <f>Table1[[#This Row],[Population projection 2020]]*0.54</f>
        <v>16015.728762499684</v>
      </c>
      <c r="I84" s="7">
        <f>Table1[[#This Row],[Female]]*0.47</f>
        <v>7248.6002028794865</v>
      </c>
      <c r="J84" s="7">
        <f>Table1[[#This Row],[Male]]*0.46</f>
        <v>6548.653538444315</v>
      </c>
      <c r="K84" s="7">
        <f>Table1[[#This Row],[Population projection 2020]]*0.04</f>
        <v>1186.3502787036803</v>
      </c>
      <c r="L84" s="23">
        <f>SUM(Table1[[#This Row],[IDPs / Migrants Male]:[IDPs / Migrants Female]])</f>
        <v>0</v>
      </c>
      <c r="M84" s="7"/>
      <c r="N84" s="7"/>
      <c r="O84" s="7"/>
      <c r="P84" s="7"/>
      <c r="Q84" s="7"/>
      <c r="R84" s="7"/>
      <c r="S84" s="7">
        <f>Table1[[#This Row],[Population projection 2020]]*0.07</f>
        <v>2076.1129877314406</v>
      </c>
    </row>
    <row r="85" spans="1:19" x14ac:dyDescent="0.2">
      <c r="A85" s="3" t="s">
        <v>66</v>
      </c>
      <c r="B85" s="3" t="s">
        <v>69</v>
      </c>
      <c r="C85" s="7">
        <v>113197.46579224875</v>
      </c>
      <c r="D85" s="7">
        <f>Table1[[#This Row],[Population projection 2020]]*0.48</f>
        <v>54334.7835802794</v>
      </c>
      <c r="E85" s="7">
        <f>Table1[[#This Row],[Population projection 2020]]*0.52</f>
        <v>58862.682211969353</v>
      </c>
      <c r="F85" s="7">
        <f>Table1[[#This Row],[Population projection 2020]]*0.08</f>
        <v>9055.7972633799</v>
      </c>
      <c r="G85" s="7">
        <f>Table1[[#This Row],[Population projection 2020]]*0.15</f>
        <v>16979.619868837312</v>
      </c>
      <c r="H85" s="7">
        <f>Table1[[#This Row],[Population projection 2020]]*0.54</f>
        <v>61126.63152781433</v>
      </c>
      <c r="I85" s="7">
        <f>Table1[[#This Row],[Female]]*0.47</f>
        <v>27665.460639625595</v>
      </c>
      <c r="J85" s="7">
        <f>Table1[[#This Row],[Male]]*0.46</f>
        <v>24994.000446928523</v>
      </c>
      <c r="K85" s="7">
        <f>Table1[[#This Row],[Population projection 2020]]*0.04</f>
        <v>4527.89863168995</v>
      </c>
      <c r="L85" s="23">
        <f>SUM(Table1[[#This Row],[IDPs / Migrants Male]:[IDPs / Migrants Female]])</f>
        <v>0</v>
      </c>
      <c r="M85" s="7"/>
      <c r="N85" s="7"/>
      <c r="O85" s="7"/>
      <c r="P85" s="7"/>
      <c r="Q85" s="7"/>
      <c r="R85" s="7"/>
      <c r="S85" s="7">
        <f>Table1[[#This Row],[Population projection 2020]]*0.07</f>
        <v>7923.8226054574134</v>
      </c>
    </row>
    <row r="86" spans="1:19" x14ac:dyDescent="0.2">
      <c r="A86" s="3" t="s">
        <v>66</v>
      </c>
      <c r="B86" s="3" t="s">
        <v>71</v>
      </c>
      <c r="C86" s="7">
        <v>194648.69330210824</v>
      </c>
      <c r="D86" s="7">
        <f>Table1[[#This Row],[Population projection 2020]]*0.48</f>
        <v>93431.372785011947</v>
      </c>
      <c r="E86" s="7">
        <f>Table1[[#This Row],[Population projection 2020]]*0.52</f>
        <v>101217.32051709629</v>
      </c>
      <c r="F86" s="7">
        <f>Table1[[#This Row],[Population projection 2020]]*0.08</f>
        <v>15571.89546416866</v>
      </c>
      <c r="G86" s="7">
        <f>Table1[[#This Row],[Population projection 2020]]*0.15</f>
        <v>29197.303995316233</v>
      </c>
      <c r="H86" s="7">
        <f>Table1[[#This Row],[Population projection 2020]]*0.54</f>
        <v>105110.29438313846</v>
      </c>
      <c r="I86" s="7">
        <f>Table1[[#This Row],[Female]]*0.47</f>
        <v>47572.140643035251</v>
      </c>
      <c r="J86" s="7">
        <f>Table1[[#This Row],[Male]]*0.46</f>
        <v>42978.431481105494</v>
      </c>
      <c r="K86" s="7">
        <f>Table1[[#This Row],[Population projection 2020]]*0.04</f>
        <v>7785.9477320843298</v>
      </c>
      <c r="L86" s="23">
        <f>SUM(Table1[[#This Row],[IDPs / Migrants Male]:[IDPs / Migrants Female]])</f>
        <v>0</v>
      </c>
      <c r="M86" s="7"/>
      <c r="N86" s="7"/>
      <c r="O86" s="7"/>
      <c r="P86" s="7"/>
      <c r="Q86" s="7"/>
      <c r="R86" s="7"/>
      <c r="S86" s="7">
        <f>Table1[[#This Row],[Population projection 2020]]*0.07</f>
        <v>13625.408531147577</v>
      </c>
    </row>
    <row r="87" spans="1:19" x14ac:dyDescent="0.2">
      <c r="A87" s="3" t="s">
        <v>66</v>
      </c>
      <c r="B87" s="3" t="s">
        <v>95</v>
      </c>
      <c r="C87" s="7">
        <v>215439.66195545223</v>
      </c>
      <c r="D87" s="7">
        <f>Table1[[#This Row],[Population projection 2020]]*0.48</f>
        <v>103411.03773861707</v>
      </c>
      <c r="E87" s="7">
        <f>Table1[[#This Row],[Population projection 2020]]*0.52</f>
        <v>112028.62421683516</v>
      </c>
      <c r="F87" s="7">
        <f>Table1[[#This Row],[Population projection 2020]]*0.08</f>
        <v>17235.172956436178</v>
      </c>
      <c r="G87" s="7">
        <f>Table1[[#This Row],[Population projection 2020]]*0.15</f>
        <v>32315.949293317834</v>
      </c>
      <c r="H87" s="7">
        <f>Table1[[#This Row],[Population projection 2020]]*0.54</f>
        <v>116337.41745594422</v>
      </c>
      <c r="I87" s="7">
        <f>Table1[[#This Row],[Female]]*0.47</f>
        <v>52653.453381912521</v>
      </c>
      <c r="J87" s="7">
        <f>Table1[[#This Row],[Male]]*0.46</f>
        <v>47569.077359763854</v>
      </c>
      <c r="K87" s="7">
        <f>Table1[[#This Row],[Population projection 2020]]*0.04</f>
        <v>8617.5864782180888</v>
      </c>
      <c r="L87" s="23">
        <f>SUM(Table1[[#This Row],[IDPs / Migrants Male]:[IDPs / Migrants Female]])</f>
        <v>0</v>
      </c>
      <c r="M87" s="7"/>
      <c r="N87" s="7"/>
      <c r="O87" s="7"/>
      <c r="P87" s="7"/>
      <c r="Q87" s="7"/>
      <c r="R87" s="7"/>
      <c r="S87" s="7">
        <f>Table1[[#This Row],[Population projection 2020]]*0.07</f>
        <v>15080.776336881658</v>
      </c>
    </row>
    <row r="88" spans="1:19" x14ac:dyDescent="0.2">
      <c r="A88" s="3" t="s">
        <v>66</v>
      </c>
      <c r="B88" s="3" t="s">
        <v>72</v>
      </c>
      <c r="C88" s="7">
        <v>124410.43394154956</v>
      </c>
      <c r="D88" s="7">
        <f>Table1[[#This Row],[Population projection 2020]]*0.48</f>
        <v>59717.008291943785</v>
      </c>
      <c r="E88" s="7">
        <f>Table1[[#This Row],[Population projection 2020]]*0.52</f>
        <v>64693.425649605779</v>
      </c>
      <c r="F88" s="7">
        <f>Table1[[#This Row],[Population projection 2020]]*0.08</f>
        <v>9952.8347153239647</v>
      </c>
      <c r="G88" s="7">
        <f>Table1[[#This Row],[Population projection 2020]]*0.15</f>
        <v>18661.565091232434</v>
      </c>
      <c r="H88" s="7">
        <f>Table1[[#This Row],[Population projection 2020]]*0.54</f>
        <v>67181.634328436776</v>
      </c>
      <c r="I88" s="7">
        <f>Table1[[#This Row],[Female]]*0.47</f>
        <v>30405.910055314715</v>
      </c>
      <c r="J88" s="7">
        <f>Table1[[#This Row],[Male]]*0.46</f>
        <v>27469.823814294141</v>
      </c>
      <c r="K88" s="7">
        <f>Table1[[#This Row],[Population projection 2020]]*0.04</f>
        <v>4976.4173576619824</v>
      </c>
      <c r="L88" s="23">
        <f>SUM(Table1[[#This Row],[IDPs / Migrants Male]:[IDPs / Migrants Female]])</f>
        <v>0</v>
      </c>
      <c r="M88" s="7"/>
      <c r="N88" s="7"/>
      <c r="O88" s="7"/>
      <c r="P88" s="7"/>
      <c r="Q88" s="7"/>
      <c r="R88" s="7"/>
      <c r="S88" s="7">
        <f>Table1[[#This Row],[Population projection 2020]]*0.07</f>
        <v>8708.7303759084698</v>
      </c>
    </row>
    <row r="89" spans="1:19" x14ac:dyDescent="0.2">
      <c r="A89" s="3" t="s">
        <v>66</v>
      </c>
      <c r="B89" s="3" t="s">
        <v>70</v>
      </c>
      <c r="C89" s="7">
        <v>229039.73218712016</v>
      </c>
      <c r="D89" s="7">
        <f>Table1[[#This Row],[Population projection 2020]]*0.48</f>
        <v>109939.07144981767</v>
      </c>
      <c r="E89" s="7">
        <f>Table1[[#This Row],[Population projection 2020]]*0.52</f>
        <v>119100.66073730249</v>
      </c>
      <c r="F89" s="7">
        <f>Table1[[#This Row],[Population projection 2020]]*0.08</f>
        <v>18323.178574969614</v>
      </c>
      <c r="G89" s="7">
        <f>Table1[[#This Row],[Population projection 2020]]*0.15</f>
        <v>34355.959828068022</v>
      </c>
      <c r="H89" s="7">
        <f>Table1[[#This Row],[Population projection 2020]]*0.54</f>
        <v>123681.4553810449</v>
      </c>
      <c r="I89" s="7">
        <f>Table1[[#This Row],[Female]]*0.47</f>
        <v>55977.310546532164</v>
      </c>
      <c r="J89" s="7">
        <f>Table1[[#This Row],[Male]]*0.46</f>
        <v>50571.972866916127</v>
      </c>
      <c r="K89" s="7">
        <f>Table1[[#This Row],[Population projection 2020]]*0.04</f>
        <v>9161.5892874848068</v>
      </c>
      <c r="L89" s="23">
        <f>SUM(Table1[[#This Row],[IDPs / Migrants Male]:[IDPs / Migrants Female]])</f>
        <v>0</v>
      </c>
      <c r="M89" s="7"/>
      <c r="N89" s="7"/>
      <c r="O89" s="7"/>
      <c r="P89" s="7"/>
      <c r="Q89" s="7"/>
      <c r="R89" s="7"/>
      <c r="S89" s="7">
        <f>Table1[[#This Row],[Population projection 2020]]*0.07</f>
        <v>16032.781253098412</v>
      </c>
    </row>
    <row r="90" spans="1:19" x14ac:dyDescent="0.2">
      <c r="A90" s="3" t="s">
        <v>66</v>
      </c>
      <c r="B90" s="3" t="s">
        <v>73</v>
      </c>
      <c r="C90" s="7">
        <v>44300.718345747613</v>
      </c>
      <c r="D90" s="7">
        <f>Table1[[#This Row],[Population projection 2020]]*0.48</f>
        <v>21264.344805958852</v>
      </c>
      <c r="E90" s="7">
        <f>Table1[[#This Row],[Population projection 2020]]*0.52</f>
        <v>23036.373539788761</v>
      </c>
      <c r="F90" s="7">
        <f>Table1[[#This Row],[Population projection 2020]]*0.08</f>
        <v>3544.0574676598089</v>
      </c>
      <c r="G90" s="7">
        <f>Table1[[#This Row],[Population projection 2020]]*0.15</f>
        <v>6645.1077518621414</v>
      </c>
      <c r="H90" s="7">
        <f>Table1[[#This Row],[Population projection 2020]]*0.54</f>
        <v>23922.387906703712</v>
      </c>
      <c r="I90" s="7">
        <f>Table1[[#This Row],[Female]]*0.47</f>
        <v>10827.095563700717</v>
      </c>
      <c r="J90" s="7">
        <f>Table1[[#This Row],[Male]]*0.46</f>
        <v>9781.5986107410718</v>
      </c>
      <c r="K90" s="7">
        <f>Table1[[#This Row],[Population projection 2020]]*0.04</f>
        <v>1772.0287338299045</v>
      </c>
      <c r="L90" s="23">
        <f>SUM(Table1[[#This Row],[IDPs / Migrants Male]:[IDPs / Migrants Female]])</f>
        <v>0</v>
      </c>
      <c r="M90" s="7"/>
      <c r="N90" s="7"/>
      <c r="O90" s="7">
        <v>1746</v>
      </c>
      <c r="P90" s="7">
        <v>1019</v>
      </c>
      <c r="Q90" s="7">
        <v>726</v>
      </c>
      <c r="R90" s="7"/>
      <c r="S90" s="7">
        <f>Table1[[#This Row],[Population projection 2020]]*0.07</f>
        <v>3101.0502842023334</v>
      </c>
    </row>
    <row r="91" spans="1:19" x14ac:dyDescent="0.2">
      <c r="A91" s="3" t="s">
        <v>66</v>
      </c>
      <c r="B91" s="3" t="s">
        <v>94</v>
      </c>
      <c r="C91" s="7">
        <v>95644.374240297329</v>
      </c>
      <c r="D91" s="7">
        <f>Table1[[#This Row],[Population projection 2020]]*0.48</f>
        <v>45909.299635342715</v>
      </c>
      <c r="E91" s="7">
        <f>Table1[[#This Row],[Population projection 2020]]*0.52</f>
        <v>49735.074604954614</v>
      </c>
      <c r="F91" s="7">
        <f>Table1[[#This Row],[Population projection 2020]]*0.08</f>
        <v>7651.5499392237862</v>
      </c>
      <c r="G91" s="7">
        <f>Table1[[#This Row],[Population projection 2020]]*0.15</f>
        <v>14346.656136044599</v>
      </c>
      <c r="H91" s="7">
        <f>Table1[[#This Row],[Population projection 2020]]*0.54</f>
        <v>51647.962089760564</v>
      </c>
      <c r="I91" s="7">
        <f>Table1[[#This Row],[Female]]*0.47</f>
        <v>23375.485064328666</v>
      </c>
      <c r="J91" s="7">
        <f>Table1[[#This Row],[Male]]*0.46</f>
        <v>21118.277832257649</v>
      </c>
      <c r="K91" s="7">
        <f>Table1[[#This Row],[Population projection 2020]]*0.04</f>
        <v>3825.7749696118931</v>
      </c>
      <c r="L91" s="23">
        <f>SUM(Table1[[#This Row],[IDPs / Migrants Male]:[IDPs / Migrants Female]])</f>
        <v>0</v>
      </c>
      <c r="M91" s="7"/>
      <c r="N91" s="7"/>
      <c r="O91" s="7"/>
      <c r="P91" s="7"/>
      <c r="Q91" s="7"/>
      <c r="R91" s="7"/>
      <c r="S91" s="7">
        <f>Table1[[#This Row],[Population projection 2020]]*0.07</f>
        <v>6695.1061968208141</v>
      </c>
    </row>
    <row r="92" spans="1:19" x14ac:dyDescent="0.2">
      <c r="A92" s="3" t="s">
        <v>66</v>
      </c>
      <c r="B92" s="3" t="s">
        <v>74</v>
      </c>
      <c r="C92" s="7">
        <v>27009.024335873572</v>
      </c>
      <c r="D92" s="7">
        <f>Table1[[#This Row],[Population projection 2020]]*0.48</f>
        <v>12964.331681219313</v>
      </c>
      <c r="E92" s="7">
        <f>Table1[[#This Row],[Population projection 2020]]*0.52</f>
        <v>14044.692654654258</v>
      </c>
      <c r="F92" s="7">
        <f>Table1[[#This Row],[Population projection 2020]]*0.08</f>
        <v>2160.7219468698859</v>
      </c>
      <c r="G92" s="7">
        <f>Table1[[#This Row],[Population projection 2020]]*0.15</f>
        <v>4051.3536503810355</v>
      </c>
      <c r="H92" s="7">
        <f>Table1[[#This Row],[Population projection 2020]]*0.54</f>
        <v>14584.873141371729</v>
      </c>
      <c r="I92" s="7">
        <f>Table1[[#This Row],[Female]]*0.47</f>
        <v>6601.0055476875013</v>
      </c>
      <c r="J92" s="7">
        <f>Table1[[#This Row],[Male]]*0.46</f>
        <v>5963.5925733608847</v>
      </c>
      <c r="K92" s="7">
        <f>Table1[[#This Row],[Population projection 2020]]*0.04</f>
        <v>1080.3609734349429</v>
      </c>
      <c r="L92" s="23">
        <f>SUM(Table1[[#This Row],[IDPs / Migrants Male]:[IDPs / Migrants Female]])</f>
        <v>0</v>
      </c>
      <c r="M92" s="7"/>
      <c r="N92" s="7"/>
      <c r="O92" s="7"/>
      <c r="P92" s="7"/>
      <c r="Q92" s="7"/>
      <c r="R92" s="7"/>
      <c r="S92" s="7">
        <f>Table1[[#This Row],[Population projection 2020]]*0.07</f>
        <v>1890.6317035111501</v>
      </c>
    </row>
    <row r="93" spans="1:19" x14ac:dyDescent="0.2">
      <c r="A93" s="3" t="s">
        <v>66</v>
      </c>
      <c r="B93" s="3" t="s">
        <v>93</v>
      </c>
      <c r="C93" s="7">
        <v>89409.056455932441</v>
      </c>
      <c r="D93" s="7">
        <f>Table1[[#This Row],[Population projection 2020]]*0.48</f>
        <v>42916.347098847567</v>
      </c>
      <c r="E93" s="7">
        <f>Table1[[#This Row],[Population projection 2020]]*0.52</f>
        <v>46492.709357084874</v>
      </c>
      <c r="F93" s="7">
        <f>Table1[[#This Row],[Population projection 2020]]*0.08</f>
        <v>7152.7245164745955</v>
      </c>
      <c r="G93" s="7">
        <f>Table1[[#This Row],[Population projection 2020]]*0.15</f>
        <v>13411.358468389866</v>
      </c>
      <c r="H93" s="7">
        <f>Table1[[#This Row],[Population projection 2020]]*0.54</f>
        <v>48280.89048620352</v>
      </c>
      <c r="I93" s="7">
        <f>Table1[[#This Row],[Female]]*0.47</f>
        <v>21851.573397829889</v>
      </c>
      <c r="J93" s="7">
        <f>Table1[[#This Row],[Male]]*0.46</f>
        <v>19741.519665469881</v>
      </c>
      <c r="K93" s="7">
        <f>Table1[[#This Row],[Population projection 2020]]*0.04</f>
        <v>3576.3622582372977</v>
      </c>
      <c r="L93" s="23">
        <f>SUM(Table1[[#This Row],[IDPs / Migrants Male]:[IDPs / Migrants Female]])</f>
        <v>0</v>
      </c>
      <c r="M93" s="7"/>
      <c r="N93" s="7"/>
      <c r="O93" s="7"/>
      <c r="P93" s="7"/>
      <c r="Q93" s="7"/>
      <c r="R93" s="7"/>
      <c r="S93" s="7">
        <f>Table1[[#This Row],[Population projection 2020]]*0.07</f>
        <v>6258.6339519152716</v>
      </c>
    </row>
    <row r="94" spans="1:19" x14ac:dyDescent="0.2">
      <c r="A94" s="5" t="s">
        <v>66</v>
      </c>
      <c r="B94" s="5" t="s">
        <v>92</v>
      </c>
      <c r="C94" s="7">
        <v>55768.919000756068</v>
      </c>
      <c r="D94" s="7">
        <f>Table1[[#This Row],[Population projection 2020]]*0.48</f>
        <v>26769.081120362913</v>
      </c>
      <c r="E94" s="7">
        <f>Table1[[#This Row],[Population projection 2020]]*0.52</f>
        <v>28999.837880393156</v>
      </c>
      <c r="F94" s="7">
        <f>Table1[[#This Row],[Population projection 2020]]*0.08</f>
        <v>4461.5135200604855</v>
      </c>
      <c r="G94" s="7">
        <f>Table1[[#This Row],[Population projection 2020]]*0.15</f>
        <v>8365.3378501134102</v>
      </c>
      <c r="H94" s="7">
        <f>Table1[[#This Row],[Population projection 2020]]*0.54</f>
        <v>30115.216260408281</v>
      </c>
      <c r="I94" s="7">
        <f>Table1[[#This Row],[Female]]*0.47</f>
        <v>13629.923803784783</v>
      </c>
      <c r="J94" s="7">
        <f>Table1[[#This Row],[Male]]*0.46</f>
        <v>12313.77731536694</v>
      </c>
      <c r="K94" s="7">
        <f>Table1[[#This Row],[Population projection 2020]]*0.04</f>
        <v>2230.7567600302427</v>
      </c>
      <c r="L94" s="23">
        <f>SUM(Table1[[#This Row],[IDPs / Migrants Male]:[IDPs / Migrants Female]])</f>
        <v>0</v>
      </c>
      <c r="M94" s="7"/>
      <c r="N94" s="7"/>
      <c r="O94" s="7"/>
      <c r="P94" s="7"/>
      <c r="Q94" s="7"/>
      <c r="R94" s="7"/>
      <c r="S94" s="7">
        <f>Table1[[#This Row],[Population projection 2020]]*0.07</f>
        <v>3903.8243300529252</v>
      </c>
    </row>
    <row r="95" spans="1:19" x14ac:dyDescent="0.2">
      <c r="A95" s="8" t="s">
        <v>199</v>
      </c>
      <c r="B95" s="9" t="s">
        <v>190</v>
      </c>
      <c r="C95" s="12">
        <f>SUM(Table1[Population projection 2020])</f>
        <v>16152763.999999994</v>
      </c>
      <c r="D95" s="12">
        <f>SUM(Table1[Male])</f>
        <v>7751800.0454221582</v>
      </c>
      <c r="E95" s="12">
        <f>SUM(Table1[Female])</f>
        <v>8400963.9545778409</v>
      </c>
      <c r="F95" s="12" t="e">
        <f>SUM(Table1[Children 6 - 23 months 2020 projection])</f>
        <v>#VALUE!</v>
      </c>
      <c r="G95" s="12">
        <f>SUM(Table1[Children &lt;5 2020 projection2])</f>
        <v>2432690.3945778413</v>
      </c>
      <c r="H95" s="12">
        <f>SUM(Table1[Children &lt;18  2020 Projection])</f>
        <v>8396742.3083113637</v>
      </c>
      <c r="I95" s="12">
        <f>SUM(Table1[Women and Girls (15-49 yrs) 2020 projection])</f>
        <v>4082592.886921301</v>
      </c>
      <c r="J95" s="12">
        <f>SUM(Table1[Men and Boys (15-49 yrs) 2020 projection])</f>
        <v>3714100.8775362652</v>
      </c>
      <c r="K95" s="12">
        <f>SUM(Table1[Elderly (65+) 
2020 projection])</f>
        <v>672426.3452000001</v>
      </c>
      <c r="L95" s="12">
        <f>SUM(Table1[Total IDPs / Migrants])</f>
        <v>33556</v>
      </c>
      <c r="M95" s="12">
        <f>SUM(Table1[IDPs / Migrants Male])</f>
        <v>13147</v>
      </c>
      <c r="N95" s="12">
        <f>SUM(Table1[IDPs / Migrants Female])</f>
        <v>20409</v>
      </c>
      <c r="O95" s="12">
        <f>SUM(Table1[Total Returnees / Migrants])</f>
        <v>20464</v>
      </c>
      <c r="P95" s="12">
        <f>SUM(Table1[Returnees / Migrants Male])</f>
        <v>11525</v>
      </c>
      <c r="Q95" s="12">
        <f>SUM(Table1[Returnees / Migrants Female])</f>
        <v>10383</v>
      </c>
      <c r="R95" s="12">
        <f>SUM(Table1[Refugees &amp; Asylum seekers])</f>
        <v>15405</v>
      </c>
      <c r="S95" s="12" t="e">
        <f>SUM(Table1[[People with Disability ]])</f>
        <v>#VALUE!</v>
      </c>
    </row>
    <row r="97" spans="3:3" x14ac:dyDescent="0.2">
      <c r="C97" s="24"/>
    </row>
  </sheetData>
  <sortState xmlns:xlrd2="http://schemas.microsoft.com/office/spreadsheetml/2017/richdata2" ref="A3:B94">
    <sortCondition ref="A3:A94"/>
    <sortCondition ref="B3:B94"/>
  </sortState>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E361-5DA2-403F-B727-BB24B64BE5AF}">
  <dimension ref="B1:J14"/>
  <sheetViews>
    <sheetView showGridLines="0" zoomScale="120" zoomScaleNormal="120" zoomScaleSheetLayoutView="150" workbookViewId="0">
      <pane xSplit="2" ySplit="1" topLeftCell="D2" activePane="bottomRight" state="frozen"/>
      <selection pane="topRight" activeCell="C1" sqref="C1"/>
      <selection pane="bottomLeft" activeCell="A3" sqref="A3"/>
      <selection pane="bottomRight" activeCell="I2" sqref="I2"/>
    </sheetView>
  </sheetViews>
  <sheetFormatPr defaultRowHeight="15" x14ac:dyDescent="0.25"/>
  <cols>
    <col min="2" max="2" width="18.85546875" customWidth="1"/>
    <col min="3" max="3" width="12.5703125" customWidth="1"/>
    <col min="4" max="4" width="12.5703125" bestFit="1" customWidth="1"/>
    <col min="5" max="5" width="10.85546875" customWidth="1"/>
    <col min="6" max="6" width="10.5703125" customWidth="1"/>
    <col min="7" max="7" width="2.42578125" style="41" customWidth="1"/>
    <col min="8" max="8" width="31.140625" customWidth="1"/>
    <col min="9" max="9" width="15.140625" customWidth="1"/>
    <col min="10" max="10" width="1.42578125" style="41" customWidth="1"/>
    <col min="11" max="28" width="8.5703125" customWidth="1"/>
  </cols>
  <sheetData>
    <row r="1" spans="2:9" ht="45.75" thickBot="1" x14ac:dyDescent="0.3">
      <c r="B1" s="37" t="s">
        <v>186</v>
      </c>
      <c r="C1" s="37" t="s">
        <v>191</v>
      </c>
      <c r="D1" s="37" t="s">
        <v>192</v>
      </c>
      <c r="E1" s="37" t="s">
        <v>193</v>
      </c>
      <c r="F1" s="37" t="s">
        <v>194</v>
      </c>
      <c r="G1" s="40"/>
      <c r="H1" s="42" t="s">
        <v>181</v>
      </c>
      <c r="I1" s="43" t="s">
        <v>184</v>
      </c>
    </row>
    <row r="2" spans="2:9" ht="15.75" thickTop="1" x14ac:dyDescent="0.25">
      <c r="B2" s="36" t="s">
        <v>143</v>
      </c>
      <c r="C2" s="38" t="e">
        <f>SUM(#REF!)</f>
        <v>#REF!</v>
      </c>
      <c r="D2" s="38" t="e">
        <f>SUM(#REF!)</f>
        <v>#REF!</v>
      </c>
      <c r="E2" s="38"/>
      <c r="F2" s="38"/>
      <c r="H2" s="36" t="s">
        <v>182</v>
      </c>
      <c r="I2" s="38">
        <v>353316655</v>
      </c>
    </row>
    <row r="3" spans="2:9" x14ac:dyDescent="0.25">
      <c r="B3" s="36" t="s">
        <v>146</v>
      </c>
      <c r="C3" s="38" t="e">
        <f>SUM(#REF!)</f>
        <v>#REF!</v>
      </c>
      <c r="D3" s="38" t="e">
        <f>SUM(#REF!)</f>
        <v>#REF!</v>
      </c>
      <c r="E3" s="38"/>
      <c r="F3" s="38"/>
      <c r="H3" s="36" t="s">
        <v>153</v>
      </c>
      <c r="I3" s="38" t="e">
        <f>#REF!</f>
        <v>#REF!</v>
      </c>
    </row>
    <row r="4" spans="2:9" x14ac:dyDescent="0.25">
      <c r="B4" s="36" t="s">
        <v>187</v>
      </c>
      <c r="C4" s="38" t="e">
        <f>SUM(#REF!)</f>
        <v>#REF!</v>
      </c>
      <c r="D4" s="38" t="e">
        <f>SUM(#REF!)</f>
        <v>#REF!</v>
      </c>
      <c r="E4" s="38"/>
      <c r="F4" s="38"/>
      <c r="H4" s="36" t="s">
        <v>145</v>
      </c>
      <c r="I4" s="38" t="e">
        <f>#REF!</f>
        <v>#REF!</v>
      </c>
    </row>
    <row r="5" spans="2:9" x14ac:dyDescent="0.25">
      <c r="B5" s="36" t="s">
        <v>153</v>
      </c>
      <c r="C5" s="38" t="e">
        <f>SUM(#REF!)</f>
        <v>#REF!</v>
      </c>
      <c r="D5" s="38" t="e">
        <f>SUM(#REF!)</f>
        <v>#REF!</v>
      </c>
      <c r="E5" s="38"/>
      <c r="F5" s="38"/>
      <c r="H5" s="36" t="s">
        <v>146</v>
      </c>
      <c r="I5" s="38" t="e">
        <f>#REF!</f>
        <v>#REF!</v>
      </c>
    </row>
    <row r="6" spans="2:9" x14ac:dyDescent="0.25">
      <c r="B6" s="36" t="s">
        <v>144</v>
      </c>
      <c r="C6" s="38" t="e">
        <f>SUM(#REF!)</f>
        <v>#REF!</v>
      </c>
      <c r="D6" s="38" t="e">
        <f>SUM(#REF!)</f>
        <v>#REF!</v>
      </c>
      <c r="E6" s="38"/>
      <c r="F6" s="38"/>
      <c r="H6" s="36" t="s">
        <v>154</v>
      </c>
      <c r="I6" s="38" t="e">
        <f>#REF!</f>
        <v>#REF!</v>
      </c>
    </row>
    <row r="7" spans="2:9" x14ac:dyDescent="0.25">
      <c r="B7" s="36" t="s">
        <v>188</v>
      </c>
      <c r="C7" s="38" t="e">
        <f>SUM(#REF!)</f>
        <v>#REF!</v>
      </c>
      <c r="D7" s="38" t="e">
        <f>SUM(#REF!)</f>
        <v>#REF!</v>
      </c>
      <c r="E7" s="38"/>
      <c r="F7" s="38"/>
      <c r="H7" s="36" t="s">
        <v>144</v>
      </c>
      <c r="I7" s="38" t="e">
        <f>#REF!</f>
        <v>#REF!</v>
      </c>
    </row>
    <row r="8" spans="2:9" x14ac:dyDescent="0.25">
      <c r="B8" s="36" t="s">
        <v>189</v>
      </c>
      <c r="C8" s="38" t="e">
        <f>SUM(#REF!)</f>
        <v>#REF!</v>
      </c>
      <c r="D8" s="38" t="e">
        <f>SUM(#REF!)</f>
        <v>#REF!</v>
      </c>
      <c r="E8" s="38"/>
      <c r="F8" s="38"/>
      <c r="H8" s="36" t="s">
        <v>159</v>
      </c>
      <c r="I8" s="38" t="e">
        <f>#REF!</f>
        <v>#REF!</v>
      </c>
    </row>
    <row r="9" spans="2:9" x14ac:dyDescent="0.25">
      <c r="B9" s="36" t="s">
        <v>159</v>
      </c>
      <c r="C9" s="38" t="e">
        <f>SUM(#REF!)</f>
        <v>#REF!</v>
      </c>
      <c r="D9" s="38" t="e">
        <f>SUM(#REF!)</f>
        <v>#REF!</v>
      </c>
      <c r="E9" s="38"/>
      <c r="F9" s="38"/>
      <c r="H9" s="36" t="s">
        <v>157</v>
      </c>
      <c r="I9" s="38" t="e">
        <f>#REF!</f>
        <v>#REF!</v>
      </c>
    </row>
    <row r="10" spans="2:9" x14ac:dyDescent="0.25">
      <c r="B10" s="36" t="s">
        <v>145</v>
      </c>
      <c r="C10" s="38" t="e">
        <f>SUM(#REF!)</f>
        <v>#REF!</v>
      </c>
      <c r="D10" s="38" t="e">
        <f>SUM(#REF!)</f>
        <v>#REF!</v>
      </c>
      <c r="E10" s="38"/>
      <c r="F10" s="38"/>
      <c r="H10" s="36" t="s">
        <v>155</v>
      </c>
      <c r="I10" s="38" t="e">
        <f>#REF!</f>
        <v>#REF!</v>
      </c>
    </row>
    <row r="11" spans="2:9" x14ac:dyDescent="0.25">
      <c r="B11" s="36" t="s">
        <v>183</v>
      </c>
      <c r="C11" s="38"/>
      <c r="D11" s="38"/>
      <c r="E11" s="38"/>
      <c r="F11" s="38"/>
      <c r="H11" s="36" t="s">
        <v>143</v>
      </c>
      <c r="I11" s="38" t="e">
        <f>#REF!</f>
        <v>#REF!</v>
      </c>
    </row>
    <row r="12" spans="2:9" ht="17.45" customHeight="1" x14ac:dyDescent="0.25">
      <c r="B12" s="39" t="s">
        <v>190</v>
      </c>
      <c r="C12" s="34"/>
      <c r="D12" s="34"/>
      <c r="E12" s="34" t="e">
        <f>SUM(#REF!)</f>
        <v>#REF!</v>
      </c>
      <c r="F12" s="34" t="e">
        <f>SUM(#REF!)</f>
        <v>#REF!</v>
      </c>
      <c r="H12" s="36" t="s">
        <v>185</v>
      </c>
      <c r="I12" s="38" t="e">
        <f>#REF!</f>
        <v>#REF!</v>
      </c>
    </row>
    <row r="13" spans="2:9" x14ac:dyDescent="0.25">
      <c r="H13" s="36" t="s">
        <v>183</v>
      </c>
      <c r="I13" s="38" t="e">
        <f>#REF!</f>
        <v>#REF!</v>
      </c>
    </row>
    <row r="14" spans="2:9" x14ac:dyDescent="0.25">
      <c r="H14" s="36" t="s">
        <v>2</v>
      </c>
      <c r="I14" s="38" t="e">
        <f>SUM(I2:I13)</f>
        <v>#REF!</v>
      </c>
    </row>
  </sheetData>
  <phoneticPr fontId="9" type="noConversion"/>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6D77-1818-4908-9134-85867DC46820}">
  <dimension ref="A1"/>
  <sheetViews>
    <sheetView topLeftCell="A7" workbookViewId="0">
      <selection activeCell="H23" sqref="H23"/>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21C2-6090-44B4-B1B0-D1BC00A5F11E}">
  <dimension ref="A1:A18"/>
  <sheetViews>
    <sheetView workbookViewId="0">
      <selection activeCell="A18" sqref="A18"/>
    </sheetView>
  </sheetViews>
  <sheetFormatPr defaultColWidth="13.85546875" defaultRowHeight="15" customHeight="1" x14ac:dyDescent="0.25"/>
  <cols>
    <col min="1" max="1" width="104.140625" customWidth="1"/>
  </cols>
  <sheetData>
    <row r="1" spans="1:1" ht="15" customHeight="1" x14ac:dyDescent="0.25">
      <c r="A1" s="16" t="s">
        <v>122</v>
      </c>
    </row>
    <row r="2" spans="1:1" ht="15" customHeight="1" x14ac:dyDescent="0.25">
      <c r="A2" s="17" t="s">
        <v>123</v>
      </c>
    </row>
    <row r="4" spans="1:1" ht="15" customHeight="1" x14ac:dyDescent="0.25">
      <c r="A4" s="15" t="s">
        <v>124</v>
      </c>
    </row>
    <row r="5" spans="1:1" ht="15" customHeight="1" x14ac:dyDescent="0.25">
      <c r="A5" s="15"/>
    </row>
    <row r="6" spans="1:1" ht="15" customHeight="1" x14ac:dyDescent="0.25">
      <c r="A6" s="15" t="s">
        <v>125</v>
      </c>
    </row>
    <row r="7" spans="1:1" ht="15" customHeight="1" x14ac:dyDescent="0.25">
      <c r="A7" s="15" t="s">
        <v>126</v>
      </c>
    </row>
    <row r="8" spans="1:1" ht="15" customHeight="1" x14ac:dyDescent="0.25">
      <c r="A8" s="15" t="s">
        <v>127</v>
      </c>
    </row>
    <row r="9" spans="1:1" ht="15" customHeight="1" x14ac:dyDescent="0.25">
      <c r="A9" s="15" t="s">
        <v>128</v>
      </c>
    </row>
    <row r="10" spans="1:1" ht="15" customHeight="1" x14ac:dyDescent="0.25">
      <c r="A10" s="15" t="s">
        <v>129</v>
      </c>
    </row>
    <row r="11" spans="1:1" ht="15" customHeight="1" x14ac:dyDescent="0.25">
      <c r="A11" s="15"/>
    </row>
    <row r="12" spans="1:1" ht="15" customHeight="1" x14ac:dyDescent="0.25">
      <c r="A12" s="15" t="s">
        <v>130</v>
      </c>
    </row>
    <row r="13" spans="1:1" ht="15" customHeight="1" x14ac:dyDescent="0.25">
      <c r="A13" s="15"/>
    </row>
    <row r="14" spans="1:1" ht="15" customHeight="1" x14ac:dyDescent="0.25">
      <c r="A14" s="15" t="s">
        <v>131</v>
      </c>
    </row>
    <row r="15" spans="1:1" ht="15" customHeight="1" x14ac:dyDescent="0.25">
      <c r="A15" s="15"/>
    </row>
    <row r="16" spans="1:1" ht="15" customHeight="1" x14ac:dyDescent="0.25">
      <c r="A16" s="15" t="s">
        <v>132</v>
      </c>
    </row>
    <row r="18" spans="1:1" ht="15" customHeight="1" x14ac:dyDescent="0.25">
      <c r="A18" s="15"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DD30-5B90-4E8B-8C98-7E10DF54BB6D}">
  <dimension ref="B2:F10"/>
  <sheetViews>
    <sheetView workbookViewId="0">
      <selection activeCell="F2" sqref="F2:F10"/>
    </sheetView>
  </sheetViews>
  <sheetFormatPr defaultRowHeight="15" x14ac:dyDescent="0.25"/>
  <cols>
    <col min="6" max="6" width="25" customWidth="1"/>
  </cols>
  <sheetData>
    <row r="2" spans="2:6" x14ac:dyDescent="0.25">
      <c r="B2" t="s">
        <v>117</v>
      </c>
      <c r="F2" t="s">
        <v>135</v>
      </c>
    </row>
    <row r="3" spans="2:6" x14ac:dyDescent="0.25">
      <c r="B3" t="s">
        <v>118</v>
      </c>
      <c r="F3" t="s">
        <v>136</v>
      </c>
    </row>
    <row r="4" spans="2:6" x14ac:dyDescent="0.25">
      <c r="F4" t="s">
        <v>137</v>
      </c>
    </row>
    <row r="5" spans="2:6" x14ac:dyDescent="0.25">
      <c r="F5" t="s">
        <v>139</v>
      </c>
    </row>
    <row r="6" spans="2:6" x14ac:dyDescent="0.25">
      <c r="F6" t="s">
        <v>138</v>
      </c>
    </row>
    <row r="7" spans="2:6" x14ac:dyDescent="0.25">
      <c r="F7" t="s">
        <v>140</v>
      </c>
    </row>
    <row r="8" spans="2:6" x14ac:dyDescent="0.25">
      <c r="F8" t="s">
        <v>141</v>
      </c>
    </row>
    <row r="9" spans="2:6" x14ac:dyDescent="0.25">
      <c r="F9" t="s">
        <v>134</v>
      </c>
    </row>
    <row r="10" spans="2:6" x14ac:dyDescent="0.25">
      <c r="F10"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5892F-C70D-4922-BB6D-9DECF3F26FF7}">
  <dimension ref="A1:S18"/>
  <sheetViews>
    <sheetView showGridLines="0" workbookViewId="0">
      <selection activeCell="G13" sqref="G13"/>
    </sheetView>
  </sheetViews>
  <sheetFormatPr defaultRowHeight="15" x14ac:dyDescent="0.25"/>
  <cols>
    <col min="1" max="1" width="9.85546875" customWidth="1"/>
    <col min="2" max="3" width="12.5703125" bestFit="1" customWidth="1"/>
    <col min="5" max="7" width="12.7109375" bestFit="1" customWidth="1"/>
    <col min="9" max="10" width="12.7109375" bestFit="1" customWidth="1"/>
    <col min="11" max="11" width="13.85546875" bestFit="1" customWidth="1"/>
    <col min="13" max="15" width="11.140625" bestFit="1" customWidth="1"/>
    <col min="17" max="19" width="11.140625" bestFit="1" customWidth="1"/>
  </cols>
  <sheetData>
    <row r="1" spans="1:19" x14ac:dyDescent="0.25">
      <c r="A1" s="49" t="s">
        <v>107</v>
      </c>
      <c r="B1" s="49"/>
      <c r="C1" s="49"/>
      <c r="E1" s="49" t="s">
        <v>108</v>
      </c>
      <c r="F1" s="49"/>
      <c r="G1" s="49"/>
      <c r="I1" s="49" t="s">
        <v>109</v>
      </c>
      <c r="J1" s="49"/>
      <c r="K1" s="49"/>
      <c r="M1" s="49" t="s">
        <v>110</v>
      </c>
      <c r="N1" s="49"/>
      <c r="O1" s="49"/>
      <c r="Q1" s="49" t="s">
        <v>111</v>
      </c>
      <c r="R1" s="49"/>
      <c r="S1" s="49"/>
    </row>
    <row r="2" spans="1:19" x14ac:dyDescent="0.25">
      <c r="A2" s="10" t="s">
        <v>3</v>
      </c>
      <c r="B2" s="10" t="s">
        <v>4</v>
      </c>
      <c r="C2" s="10" t="s">
        <v>2</v>
      </c>
      <c r="E2" s="10" t="s">
        <v>3</v>
      </c>
      <c r="F2" s="10" t="s">
        <v>4</v>
      </c>
      <c r="G2" s="10" t="s">
        <v>2</v>
      </c>
      <c r="I2" s="10" t="s">
        <v>3</v>
      </c>
      <c r="J2" s="10" t="s">
        <v>4</v>
      </c>
      <c r="K2" s="10" t="s">
        <v>2</v>
      </c>
      <c r="M2" s="10" t="s">
        <v>3</v>
      </c>
      <c r="N2" s="10" t="s">
        <v>4</v>
      </c>
      <c r="O2" s="10" t="s">
        <v>2</v>
      </c>
      <c r="Q2" s="10" t="s">
        <v>3</v>
      </c>
      <c r="R2" s="10" t="s">
        <v>4</v>
      </c>
      <c r="S2" s="10" t="s">
        <v>2</v>
      </c>
    </row>
    <row r="3" spans="1:19" x14ac:dyDescent="0.25">
      <c r="A3" s="13">
        <v>1230616</v>
      </c>
      <c r="B3" s="13">
        <v>1243201</v>
      </c>
      <c r="C3" s="13">
        <v>2473817</v>
      </c>
      <c r="E3" s="13">
        <v>1230616</v>
      </c>
      <c r="F3" s="13">
        <v>1243201</v>
      </c>
      <c r="G3" s="13">
        <v>2473817</v>
      </c>
      <c r="I3" s="13">
        <v>875183</v>
      </c>
      <c r="J3" s="13">
        <v>871128</v>
      </c>
      <c r="K3" s="13">
        <v>1746311</v>
      </c>
      <c r="M3" s="13">
        <v>185193</v>
      </c>
      <c r="N3" s="13">
        <v>196941</v>
      </c>
      <c r="O3" s="13">
        <v>382134</v>
      </c>
      <c r="Q3" s="13">
        <v>84905</v>
      </c>
      <c r="R3" s="13">
        <v>134471</v>
      </c>
      <c r="S3" s="13">
        <v>219376</v>
      </c>
    </row>
    <row r="4" spans="1:19" x14ac:dyDescent="0.25">
      <c r="E4" s="13">
        <v>1095439</v>
      </c>
      <c r="F4" s="13">
        <v>1109804</v>
      </c>
      <c r="G4" s="13">
        <v>2205243</v>
      </c>
      <c r="I4" s="13">
        <v>745086</v>
      </c>
      <c r="J4" s="13">
        <v>750035</v>
      </c>
      <c r="K4" s="13">
        <v>1495121</v>
      </c>
      <c r="M4" s="13">
        <v>143251</v>
      </c>
      <c r="N4" s="13">
        <v>182650</v>
      </c>
      <c r="O4" s="13">
        <v>325901</v>
      </c>
      <c r="Q4" s="13">
        <v>64607</v>
      </c>
      <c r="R4" s="13">
        <v>95268</v>
      </c>
      <c r="S4" s="13">
        <v>159875</v>
      </c>
    </row>
    <row r="5" spans="1:19" x14ac:dyDescent="0.25">
      <c r="A5" s="6">
        <f>A3/I15</f>
        <v>0.15842476389146717</v>
      </c>
      <c r="B5" s="6">
        <f>B3/J15</f>
        <v>0.14826595637726167</v>
      </c>
      <c r="C5" s="6">
        <f>C3/K15</f>
        <v>0.1531513025788464</v>
      </c>
      <c r="E5" s="13">
        <v>985305</v>
      </c>
      <c r="F5" s="13">
        <v>992778</v>
      </c>
      <c r="G5" s="13">
        <v>1978083</v>
      </c>
      <c r="I5" s="13">
        <v>594652</v>
      </c>
      <c r="J5" s="13">
        <v>664852</v>
      </c>
      <c r="K5" s="13">
        <v>1259504</v>
      </c>
      <c r="M5" s="13">
        <v>110685</v>
      </c>
      <c r="N5" s="13">
        <v>176094</v>
      </c>
      <c r="O5" s="13">
        <v>286779</v>
      </c>
      <c r="Q5" s="13">
        <v>46670</v>
      </c>
      <c r="R5" s="13">
        <v>69382</v>
      </c>
      <c r="S5" s="13">
        <v>116052</v>
      </c>
    </row>
    <row r="6" spans="1:19" x14ac:dyDescent="0.25">
      <c r="E6" s="13">
        <v>875183</v>
      </c>
      <c r="F6" s="13">
        <v>871128</v>
      </c>
      <c r="G6" s="13">
        <v>1746311</v>
      </c>
      <c r="I6" s="13">
        <v>470910</v>
      </c>
      <c r="J6" s="13">
        <v>595670</v>
      </c>
      <c r="K6" s="13">
        <v>1066580</v>
      </c>
      <c r="M6" s="11">
        <f>SUM(M3:M5)</f>
        <v>439129</v>
      </c>
      <c r="N6" s="11">
        <f>SUM(N3:N5)</f>
        <v>555685</v>
      </c>
      <c r="O6" s="11">
        <f>SUM(O3:O5)</f>
        <v>994814</v>
      </c>
      <c r="Q6" s="13">
        <v>64573</v>
      </c>
      <c r="R6" s="13">
        <v>104894</v>
      </c>
      <c r="S6" s="13">
        <v>169467</v>
      </c>
    </row>
    <row r="7" spans="1:19" x14ac:dyDescent="0.25">
      <c r="E7" s="11">
        <f>SUM(E3:E6)</f>
        <v>4186543</v>
      </c>
      <c r="F7" s="11">
        <f>SUM(F3:F6)</f>
        <v>4216911</v>
      </c>
      <c r="G7" s="11">
        <f>SUM(G3:G6)</f>
        <v>8403454</v>
      </c>
      <c r="I7" s="13">
        <v>422277</v>
      </c>
      <c r="J7" s="13">
        <v>501577</v>
      </c>
      <c r="K7" s="13">
        <v>923854</v>
      </c>
      <c r="Q7" s="11">
        <f>SUM(Q3:Q6)</f>
        <v>260755</v>
      </c>
      <c r="R7" s="11">
        <f>SUM(R3:R6)</f>
        <v>404015</v>
      </c>
      <c r="S7" s="11">
        <f>SUM(S3:S6)</f>
        <v>664770</v>
      </c>
    </row>
    <row r="8" spans="1:19" x14ac:dyDescent="0.25">
      <c r="A8" s="49" t="s">
        <v>147</v>
      </c>
      <c r="B8" s="49"/>
      <c r="C8" s="49"/>
      <c r="I8" s="13">
        <v>372980</v>
      </c>
      <c r="J8" s="13">
        <v>402977</v>
      </c>
      <c r="K8" s="13">
        <v>775957</v>
      </c>
      <c r="M8" s="6">
        <f>M6/I15</f>
        <v>5.6531776072224066E-2</v>
      </c>
      <c r="N8" s="6">
        <f>N6/J15</f>
        <v>6.6271799949886342E-2</v>
      </c>
      <c r="O8" s="6">
        <f>O6/K15</f>
        <v>6.1587845796060303E-2</v>
      </c>
    </row>
    <row r="9" spans="1:19" x14ac:dyDescent="0.25">
      <c r="A9" s="10" t="s">
        <v>3</v>
      </c>
      <c r="B9" s="10" t="s">
        <v>4</v>
      </c>
      <c r="C9" s="10" t="s">
        <v>2</v>
      </c>
      <c r="E9" s="6">
        <f>E7/I15</f>
        <v>0.53895942056374591</v>
      </c>
      <c r="F9" s="6">
        <f>F7/J15</f>
        <v>0.5029149287788498</v>
      </c>
      <c r="G9" s="6">
        <f>G7/K15</f>
        <v>0.52024863854578463</v>
      </c>
      <c r="I9" s="13">
        <v>275494</v>
      </c>
      <c r="J9" s="13">
        <v>293217</v>
      </c>
      <c r="K9" s="13">
        <v>568711</v>
      </c>
      <c r="Q9" s="6">
        <f>Q7/I15</f>
        <v>3.3568594353169084E-2</v>
      </c>
      <c r="R9" s="6">
        <f>R7/J15</f>
        <v>4.8183415526338355E-2</v>
      </c>
      <c r="S9" s="6">
        <f>S7/K15</f>
        <v>4.1155183029035584E-2</v>
      </c>
    </row>
    <row r="10" spans="1:19" x14ac:dyDescent="0.25">
      <c r="A10" s="13">
        <v>615308</v>
      </c>
      <c r="B10" s="13">
        <v>621601</v>
      </c>
      <c r="C10" s="13">
        <v>1236909</v>
      </c>
      <c r="I10" s="11">
        <f>SUM(I3:I9)</f>
        <v>3756582</v>
      </c>
      <c r="J10" s="11">
        <f>SUM(J3:J9)</f>
        <v>4079456</v>
      </c>
      <c r="K10" s="11">
        <f>SUM(K3:K9)</f>
        <v>7836038</v>
      </c>
    </row>
    <row r="11" spans="1:19" x14ac:dyDescent="0.25">
      <c r="A11" s="6">
        <f>A10/I15</f>
        <v>7.9212381945733587E-2</v>
      </c>
      <c r="B11" s="6">
        <f>B10/J15</f>
        <v>7.4133037819356831E-2</v>
      </c>
      <c r="C11" s="6">
        <f>C10/K15</f>
        <v>7.6575682243875898E-2</v>
      </c>
    </row>
    <row r="12" spans="1:19" x14ac:dyDescent="0.25">
      <c r="I12" s="6">
        <f>I10/I15</f>
        <v>0.48360789749924882</v>
      </c>
      <c r="J12" s="6">
        <f>J10/J15</f>
        <v>0.48652184589536074</v>
      </c>
      <c r="K12" s="6">
        <f>K10/K15</f>
        <v>0.48512053509105096</v>
      </c>
    </row>
    <row r="14" spans="1:19" x14ac:dyDescent="0.25">
      <c r="I14" s="11" t="s">
        <v>3</v>
      </c>
      <c r="J14" s="11" t="s">
        <v>4</v>
      </c>
      <c r="K14" s="11" t="s">
        <v>2</v>
      </c>
    </row>
    <row r="15" spans="1:19" x14ac:dyDescent="0.25">
      <c r="I15" s="11">
        <v>7767826</v>
      </c>
      <c r="J15" s="11">
        <v>8384939</v>
      </c>
      <c r="K15" s="11">
        <v>16152765</v>
      </c>
    </row>
    <row r="17" spans="9:11" x14ac:dyDescent="0.25">
      <c r="I17" s="49" t="s">
        <v>134</v>
      </c>
      <c r="J17" s="49"/>
      <c r="K17" s="49"/>
    </row>
    <row r="18" spans="9:11" x14ac:dyDescent="0.25">
      <c r="I18" s="22">
        <f>7%*I15</f>
        <v>543747.82000000007</v>
      </c>
      <c r="J18" s="22">
        <f>7%*J15</f>
        <v>586945.7300000001</v>
      </c>
      <c r="K18" s="22">
        <f>7%*K15</f>
        <v>1130693.55</v>
      </c>
    </row>
  </sheetData>
  <mergeCells count="7">
    <mergeCell ref="Q1:S1"/>
    <mergeCell ref="I17:K17"/>
    <mergeCell ref="A1:C1"/>
    <mergeCell ref="E1:G1"/>
    <mergeCell ref="I1:K1"/>
    <mergeCell ref="M1:O1"/>
    <mergeCell ref="A8:C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1717-6FB7-4B95-B02B-DBDF9EB92CBA}">
  <dimension ref="A1:S71"/>
  <sheetViews>
    <sheetView showGridLines="0" workbookViewId="0">
      <pane xSplit="2" ySplit="1" topLeftCell="G35" activePane="bottomRight" state="frozen"/>
      <selection pane="topRight" activeCell="C1" sqref="C1"/>
      <selection pane="bottomLeft" activeCell="A2" sqref="A2"/>
      <selection pane="bottomRight" activeCell="K70" sqref="K70"/>
    </sheetView>
  </sheetViews>
  <sheetFormatPr defaultRowHeight="15" x14ac:dyDescent="0.25"/>
  <cols>
    <col min="1" max="1" width="20.140625" customWidth="1"/>
    <col min="2" max="2" width="12.42578125" customWidth="1"/>
    <col min="3" max="7" width="12.7109375" bestFit="1" customWidth="1"/>
    <col min="8" max="9" width="11.140625" bestFit="1" customWidth="1"/>
    <col min="14" max="14" width="11.85546875" customWidth="1"/>
    <col min="15" max="15" width="14.140625" customWidth="1"/>
    <col min="16" max="16" width="2.28515625" style="31" customWidth="1"/>
    <col min="17" max="17" width="11.85546875" customWidth="1"/>
    <col min="18" max="18" width="10.28515625" customWidth="1"/>
    <col min="19" max="19" width="11.140625" customWidth="1"/>
  </cols>
  <sheetData>
    <row r="1" spans="1:19" ht="20.45" customHeight="1" x14ac:dyDescent="0.25">
      <c r="A1" s="32" t="s">
        <v>168</v>
      </c>
      <c r="B1" s="32" t="s">
        <v>169</v>
      </c>
      <c r="C1" s="32" t="s">
        <v>161</v>
      </c>
      <c r="D1" s="32" t="s">
        <v>162</v>
      </c>
      <c r="E1" s="32" t="s">
        <v>163</v>
      </c>
      <c r="F1" s="32" t="s">
        <v>164</v>
      </c>
      <c r="G1" s="32" t="s">
        <v>165</v>
      </c>
      <c r="H1" s="32" t="s">
        <v>166</v>
      </c>
      <c r="I1" s="32" t="s">
        <v>167</v>
      </c>
      <c r="J1" s="32" t="s">
        <v>175</v>
      </c>
      <c r="K1" s="32" t="s">
        <v>176</v>
      </c>
      <c r="L1" s="32" t="s">
        <v>177</v>
      </c>
      <c r="M1" s="32" t="s">
        <v>178</v>
      </c>
      <c r="N1" s="33" t="s">
        <v>179</v>
      </c>
      <c r="O1" s="33" t="s">
        <v>180</v>
      </c>
      <c r="Q1" s="35" t="s">
        <v>3</v>
      </c>
      <c r="R1" s="35" t="s">
        <v>4</v>
      </c>
      <c r="S1" s="35" t="s">
        <v>160</v>
      </c>
    </row>
    <row r="2" spans="1:19" x14ac:dyDescent="0.25">
      <c r="A2" s="28" t="s">
        <v>5</v>
      </c>
      <c r="B2" s="29" t="s">
        <v>5</v>
      </c>
      <c r="C2" s="29"/>
      <c r="D2" s="29">
        <v>19783</v>
      </c>
      <c r="E2" s="29">
        <v>39968</v>
      </c>
      <c r="F2" s="29">
        <v>23895</v>
      </c>
      <c r="G2" s="29">
        <v>32000</v>
      </c>
      <c r="H2" s="29">
        <v>31998</v>
      </c>
      <c r="I2" s="29">
        <v>12000</v>
      </c>
      <c r="J2" s="29"/>
      <c r="K2" s="29"/>
      <c r="L2" s="29"/>
      <c r="M2" s="29"/>
      <c r="N2" s="27">
        <f>MAX(Table11[[#This Row],[Feb]:[Dec]])</f>
        <v>39968</v>
      </c>
      <c r="O2" s="27">
        <v>39968</v>
      </c>
      <c r="Q2" s="27">
        <f>Table11[[#This Row],[Overaall Reached]]*0.48</f>
        <v>19184.64</v>
      </c>
      <c r="R2" s="27">
        <f>Table11[[#This Row],[Overaall Reached]]-Table14[[#This Row],[Male]]</f>
        <v>20783.36</v>
      </c>
      <c r="S2" s="27">
        <f>Table11[[#This Row],[Overaall Reached]]*0.07</f>
        <v>2797.76</v>
      </c>
    </row>
    <row r="3" spans="1:19" x14ac:dyDescent="0.25">
      <c r="A3" s="28" t="s">
        <v>84</v>
      </c>
      <c r="B3" s="29" t="s">
        <v>86</v>
      </c>
      <c r="C3" s="29">
        <v>21845</v>
      </c>
      <c r="D3" s="29">
        <v>40795</v>
      </c>
      <c r="E3" s="29">
        <v>37990</v>
      </c>
      <c r="F3" s="29">
        <v>21795</v>
      </c>
      <c r="G3" s="29">
        <v>19000</v>
      </c>
      <c r="H3" s="29">
        <v>19220</v>
      </c>
      <c r="I3" s="29">
        <v>35200</v>
      </c>
      <c r="J3" s="29"/>
      <c r="K3" s="29"/>
      <c r="L3" s="29"/>
      <c r="M3" s="29"/>
      <c r="N3" s="27">
        <f>MAX(Table11[[#This Row],[Feb]:[Dec]])</f>
        <v>40795</v>
      </c>
      <c r="O3" s="27">
        <v>19220</v>
      </c>
      <c r="Q3" s="27">
        <f>Table11[[#This Row],[Overaall Reached]]*0.48</f>
        <v>9225.6</v>
      </c>
      <c r="R3" s="27">
        <f>Table11[[#This Row],[Overaall Reached]]-Table14[[#This Row],[Male]]</f>
        <v>9994.4</v>
      </c>
      <c r="S3" s="27">
        <f>Table11[[#This Row],[Overaall Reached]]*0.07</f>
        <v>1345.4</v>
      </c>
    </row>
    <row r="4" spans="1:19" x14ac:dyDescent="0.25">
      <c r="A4" s="28" t="s">
        <v>84</v>
      </c>
      <c r="B4" s="29" t="s">
        <v>84</v>
      </c>
      <c r="C4" s="29"/>
      <c r="D4" s="29">
        <v>12000</v>
      </c>
      <c r="E4" s="29">
        <v>12000</v>
      </c>
      <c r="F4" s="29">
        <v>12000</v>
      </c>
      <c r="G4" s="29">
        <v>30000</v>
      </c>
      <c r="H4" s="29">
        <v>30158</v>
      </c>
      <c r="I4" s="29">
        <v>26908</v>
      </c>
      <c r="J4" s="29"/>
      <c r="K4" s="29"/>
      <c r="L4" s="29"/>
      <c r="M4" s="29"/>
      <c r="N4" s="27">
        <f>MAX(Table11[[#This Row],[Feb]:[Dec]])</f>
        <v>30158</v>
      </c>
      <c r="O4" s="27">
        <v>12000</v>
      </c>
      <c r="Q4" s="27">
        <f>Table11[[#This Row],[Overaall Reached]]*0.48</f>
        <v>5760</v>
      </c>
      <c r="R4" s="27">
        <f>Table11[[#This Row],[Overaall Reached]]-Table14[[#This Row],[Male]]</f>
        <v>6240</v>
      </c>
      <c r="S4" s="27">
        <f>Table11[[#This Row],[Overaall Reached]]*0.07</f>
        <v>840.00000000000011</v>
      </c>
    </row>
    <row r="5" spans="1:19" x14ac:dyDescent="0.25">
      <c r="A5" s="28" t="s">
        <v>84</v>
      </c>
      <c r="B5" s="29" t="s">
        <v>87</v>
      </c>
      <c r="C5" s="29">
        <v>1450</v>
      </c>
      <c r="D5" s="29">
        <v>1450</v>
      </c>
      <c r="E5" s="29"/>
      <c r="F5" s="29">
        <v>1450</v>
      </c>
      <c r="G5" s="29"/>
      <c r="H5" s="29"/>
      <c r="I5" s="29">
        <v>23000</v>
      </c>
      <c r="J5" s="29"/>
      <c r="K5" s="29"/>
      <c r="L5" s="29"/>
      <c r="M5" s="29"/>
      <c r="N5" s="27">
        <f>MAX(Table11[[#This Row],[Feb]:[Dec]])</f>
        <v>23000</v>
      </c>
      <c r="O5" s="27">
        <v>23000</v>
      </c>
      <c r="Q5" s="27">
        <f>Table11[[#This Row],[Overaall Reached]]*0.48</f>
        <v>11040</v>
      </c>
      <c r="R5" s="27">
        <f>Table11[[#This Row],[Overaall Reached]]-Table14[[#This Row],[Male]]</f>
        <v>11960</v>
      </c>
      <c r="S5" s="27">
        <f>Table11[[#This Row],[Overaall Reached]]*0.07</f>
        <v>1610.0000000000002</v>
      </c>
    </row>
    <row r="6" spans="1:19" x14ac:dyDescent="0.25">
      <c r="A6" s="28" t="s">
        <v>6</v>
      </c>
      <c r="B6" s="29" t="s">
        <v>7</v>
      </c>
      <c r="C6" s="29">
        <v>94006</v>
      </c>
      <c r="D6" s="29">
        <v>94006</v>
      </c>
      <c r="E6" s="29">
        <v>167165</v>
      </c>
      <c r="F6" s="29">
        <v>83852</v>
      </c>
      <c r="G6" s="29">
        <v>84248</v>
      </c>
      <c r="H6" s="29">
        <v>38719</v>
      </c>
      <c r="I6" s="29">
        <v>44848</v>
      </c>
      <c r="J6" s="29"/>
      <c r="K6" s="29"/>
      <c r="L6" s="29"/>
      <c r="M6" s="29"/>
      <c r="N6" s="27">
        <f>Table11[[#This Row],[May]]</f>
        <v>83852</v>
      </c>
      <c r="O6" s="27">
        <v>83852</v>
      </c>
      <c r="Q6" s="27">
        <f>Table11[[#This Row],[Overaall Reached]]*0.48</f>
        <v>40248.959999999999</v>
      </c>
      <c r="R6" s="27">
        <f>Table11[[#This Row],[Overaall Reached]]-Table14[[#This Row],[Male]]</f>
        <v>43603.040000000001</v>
      </c>
      <c r="S6" s="27">
        <f>Table11[[#This Row],[Overaall Reached]]*0.07</f>
        <v>5869.64</v>
      </c>
    </row>
    <row r="7" spans="1:19" x14ac:dyDescent="0.25">
      <c r="A7" s="28" t="s">
        <v>6</v>
      </c>
      <c r="B7" s="29" t="s">
        <v>8</v>
      </c>
      <c r="C7" s="29">
        <v>57325</v>
      </c>
      <c r="D7" s="29">
        <v>40380</v>
      </c>
      <c r="E7" s="29">
        <v>67963</v>
      </c>
      <c r="F7" s="29">
        <v>87542</v>
      </c>
      <c r="G7" s="29">
        <v>87542</v>
      </c>
      <c r="H7" s="29"/>
      <c r="I7" s="29">
        <v>3700</v>
      </c>
      <c r="J7" s="29"/>
      <c r="K7" s="29"/>
      <c r="L7" s="29"/>
      <c r="M7" s="29"/>
      <c r="N7" s="27">
        <f>MAX(Table11[[#This Row],[Feb]:[Dec]])</f>
        <v>87542</v>
      </c>
      <c r="O7" s="27">
        <v>87542</v>
      </c>
      <c r="Q7" s="27">
        <f>Table11[[#This Row],[Overaall Reached]]*0.48</f>
        <v>42020.159999999996</v>
      </c>
      <c r="R7" s="27">
        <f>Table11[[#This Row],[Overaall Reached]]-Table14[[#This Row],[Male]]</f>
        <v>45521.840000000004</v>
      </c>
      <c r="S7" s="27">
        <f>Table11[[#This Row],[Overaall Reached]]*0.07</f>
        <v>6127.9400000000005</v>
      </c>
    </row>
    <row r="8" spans="1:19" x14ac:dyDescent="0.25">
      <c r="A8" s="28" t="s">
        <v>6</v>
      </c>
      <c r="B8" s="29" t="s">
        <v>89</v>
      </c>
      <c r="C8" s="29">
        <v>146630</v>
      </c>
      <c r="D8" s="29">
        <v>147216</v>
      </c>
      <c r="E8" s="29">
        <v>146861</v>
      </c>
      <c r="F8" s="29">
        <v>128833</v>
      </c>
      <c r="G8" s="29">
        <v>130238</v>
      </c>
      <c r="H8" s="29">
        <v>7617</v>
      </c>
      <c r="I8" s="29">
        <v>91349</v>
      </c>
      <c r="J8" s="29"/>
      <c r="K8" s="29"/>
      <c r="L8" s="29"/>
      <c r="M8" s="29"/>
      <c r="N8" s="27">
        <f>Table11[[#This Row],[Apr]]</f>
        <v>146861</v>
      </c>
      <c r="O8" s="27">
        <v>128833</v>
      </c>
      <c r="Q8" s="27">
        <f>Table11[[#This Row],[Overaall Reached]]*0.48</f>
        <v>61839.839999999997</v>
      </c>
      <c r="R8" s="27">
        <f>Table11[[#This Row],[Overaall Reached]]-Table14[[#This Row],[Male]]</f>
        <v>66993.16</v>
      </c>
      <c r="S8" s="27">
        <f>Table11[[#This Row],[Overaall Reached]]*0.07</f>
        <v>9018.3100000000013</v>
      </c>
    </row>
    <row r="9" spans="1:19" x14ac:dyDescent="0.25">
      <c r="A9" s="28" t="s">
        <v>6</v>
      </c>
      <c r="B9" s="29" t="s">
        <v>9</v>
      </c>
      <c r="C9" s="29">
        <v>39442</v>
      </c>
      <c r="D9" s="29">
        <v>19477</v>
      </c>
      <c r="E9" s="29">
        <v>50227</v>
      </c>
      <c r="F9" s="29"/>
      <c r="G9" s="29"/>
      <c r="H9" s="29"/>
      <c r="I9" s="29"/>
      <c r="J9" s="29"/>
      <c r="K9" s="29"/>
      <c r="L9" s="29"/>
      <c r="M9" s="29"/>
      <c r="N9" s="27">
        <f>MAX(Table11[[#This Row],[Feb]:[Dec]])</f>
        <v>50227</v>
      </c>
      <c r="O9" s="27">
        <v>50227</v>
      </c>
      <c r="Q9" s="27">
        <f>Table11[[#This Row],[Overaall Reached]]*0.48</f>
        <v>24108.959999999999</v>
      </c>
      <c r="R9" s="27">
        <f>Table11[[#This Row],[Overaall Reached]]-Table14[[#This Row],[Male]]</f>
        <v>26118.04</v>
      </c>
      <c r="S9" s="27">
        <f>Table11[[#This Row],[Overaall Reached]]*0.07</f>
        <v>3515.8900000000003</v>
      </c>
    </row>
    <row r="10" spans="1:19" x14ac:dyDescent="0.25">
      <c r="A10" s="28" t="s">
        <v>6</v>
      </c>
      <c r="B10" s="29" t="s">
        <v>88</v>
      </c>
      <c r="C10" s="29">
        <v>92141</v>
      </c>
      <c r="D10" s="29">
        <v>189167</v>
      </c>
      <c r="E10" s="29">
        <v>367900</v>
      </c>
      <c r="F10" s="29">
        <v>191923</v>
      </c>
      <c r="G10" s="29">
        <v>191936</v>
      </c>
      <c r="H10" s="29"/>
      <c r="I10" s="29"/>
      <c r="J10" s="29"/>
      <c r="K10" s="29"/>
      <c r="L10" s="29"/>
      <c r="M10" s="29"/>
      <c r="N10" s="27">
        <f>Table11[[#This Row],[Jun]]</f>
        <v>191936</v>
      </c>
      <c r="O10" s="27">
        <v>191936</v>
      </c>
      <c r="Q10" s="27">
        <f>Table11[[#This Row],[Overaall Reached]]*0.48</f>
        <v>92129.279999999999</v>
      </c>
      <c r="R10" s="27">
        <f>Table11[[#This Row],[Overaall Reached]]-Table14[[#This Row],[Male]]</f>
        <v>99806.720000000001</v>
      </c>
      <c r="S10" s="27">
        <f>Table11[[#This Row],[Overaall Reached]]*0.07</f>
        <v>13435.52</v>
      </c>
    </row>
    <row r="11" spans="1:19" x14ac:dyDescent="0.25">
      <c r="A11" s="28" t="s">
        <v>6</v>
      </c>
      <c r="B11" s="29" t="s">
        <v>12</v>
      </c>
      <c r="C11" s="29"/>
      <c r="D11" s="29"/>
      <c r="E11" s="29">
        <v>7991</v>
      </c>
      <c r="F11" s="29"/>
      <c r="G11" s="29">
        <v>7991</v>
      </c>
      <c r="H11" s="29"/>
      <c r="I11" s="29">
        <v>15501</v>
      </c>
      <c r="J11" s="29"/>
      <c r="K11" s="29"/>
      <c r="L11" s="29"/>
      <c r="M11" s="29"/>
      <c r="N11" s="27">
        <f>MAX(Table11[[#This Row],[Feb]:[Dec]])</f>
        <v>15501</v>
      </c>
      <c r="O11" s="27">
        <v>15501</v>
      </c>
      <c r="Q11" s="27">
        <f>Table11[[#This Row],[Overaall Reached]]*0.48</f>
        <v>7440.48</v>
      </c>
      <c r="R11" s="27">
        <f>Table11[[#This Row],[Overaall Reached]]-Table14[[#This Row],[Male]]</f>
        <v>8060.52</v>
      </c>
      <c r="S11" s="27">
        <f>Table11[[#This Row],[Overaall Reached]]*0.07</f>
        <v>1085.0700000000002</v>
      </c>
    </row>
    <row r="12" spans="1:19" x14ac:dyDescent="0.25">
      <c r="A12" s="28" t="s">
        <v>6</v>
      </c>
      <c r="B12" s="29" t="s">
        <v>10</v>
      </c>
      <c r="C12" s="29">
        <v>36042</v>
      </c>
      <c r="D12" s="29">
        <v>35913</v>
      </c>
      <c r="E12" s="29">
        <v>37617</v>
      </c>
      <c r="F12" s="29"/>
      <c r="G12" s="29"/>
      <c r="H12" s="29"/>
      <c r="I12" s="29"/>
      <c r="J12" s="29"/>
      <c r="K12" s="29"/>
      <c r="L12" s="29"/>
      <c r="M12" s="29"/>
      <c r="N12" s="27">
        <f>MAX(Table11[[#This Row],[Feb]:[Dec]])</f>
        <v>37617</v>
      </c>
      <c r="O12" s="27">
        <v>37617</v>
      </c>
      <c r="Q12" s="27">
        <f>Table11[[#This Row],[Overaall Reached]]*0.48</f>
        <v>18056.16</v>
      </c>
      <c r="R12" s="27">
        <f>Table11[[#This Row],[Overaall Reached]]-Table14[[#This Row],[Male]]</f>
        <v>19560.84</v>
      </c>
      <c r="S12" s="27">
        <f>Table11[[#This Row],[Overaall Reached]]*0.07</f>
        <v>2633.19</v>
      </c>
    </row>
    <row r="13" spans="1:19" x14ac:dyDescent="0.25">
      <c r="A13" s="28" t="s">
        <v>6</v>
      </c>
      <c r="B13" s="29" t="s">
        <v>11</v>
      </c>
      <c r="C13" s="29">
        <v>41261</v>
      </c>
      <c r="D13" s="29">
        <v>9229</v>
      </c>
      <c r="E13" s="29">
        <v>42332</v>
      </c>
      <c r="F13" s="29"/>
      <c r="G13" s="29"/>
      <c r="H13" s="29"/>
      <c r="I13" s="29"/>
      <c r="J13" s="29"/>
      <c r="K13" s="29"/>
      <c r="L13" s="29"/>
      <c r="M13" s="29"/>
      <c r="N13" s="27">
        <f>MAX(Table11[[#This Row],[Feb]:[Dec]])</f>
        <v>42332</v>
      </c>
      <c r="O13" s="27">
        <v>42332</v>
      </c>
      <c r="Q13" s="27">
        <f>Table11[[#This Row],[Overaall Reached]]*0.48</f>
        <v>20319.36</v>
      </c>
      <c r="R13" s="27">
        <f>Table11[[#This Row],[Overaall Reached]]-Table14[[#This Row],[Male]]</f>
        <v>22012.639999999999</v>
      </c>
      <c r="S13" s="27">
        <f>Table11[[#This Row],[Overaall Reached]]*0.07</f>
        <v>2963.2400000000002</v>
      </c>
    </row>
    <row r="14" spans="1:19" x14ac:dyDescent="0.25">
      <c r="A14" s="28" t="s">
        <v>6</v>
      </c>
      <c r="B14" s="29" t="s">
        <v>13</v>
      </c>
      <c r="C14" s="29">
        <v>2003</v>
      </c>
      <c r="D14" s="29">
        <v>2003</v>
      </c>
      <c r="E14" s="29">
        <v>1949</v>
      </c>
      <c r="F14" s="29">
        <v>2000</v>
      </c>
      <c r="G14" s="29">
        <v>4000</v>
      </c>
      <c r="H14" s="29">
        <v>1685</v>
      </c>
      <c r="I14" s="29">
        <v>1993</v>
      </c>
      <c r="J14" s="29"/>
      <c r="K14" s="29"/>
      <c r="L14" s="29"/>
      <c r="M14" s="29"/>
      <c r="N14" s="27">
        <f>MAX(Table11[[#This Row],[Feb]:[Dec]])</f>
        <v>4000</v>
      </c>
      <c r="O14" s="27">
        <v>4000</v>
      </c>
      <c r="Q14" s="27">
        <f>Table11[[#This Row],[Overaall Reached]]*0.48</f>
        <v>1920</v>
      </c>
      <c r="R14" s="27">
        <f>Table11[[#This Row],[Overaall Reached]]-Table14[[#This Row],[Male]]</f>
        <v>2080</v>
      </c>
      <c r="S14" s="27">
        <f>Table11[[#This Row],[Overaall Reached]]*0.07</f>
        <v>280</v>
      </c>
    </row>
    <row r="15" spans="1:19" x14ac:dyDescent="0.25">
      <c r="A15" s="28" t="s">
        <v>15</v>
      </c>
      <c r="B15" s="29" t="s">
        <v>90</v>
      </c>
      <c r="C15" s="29">
        <v>31528</v>
      </c>
      <c r="D15" s="29">
        <v>13016</v>
      </c>
      <c r="E15" s="29">
        <v>32541</v>
      </c>
      <c r="F15" s="29"/>
      <c r="G15" s="29"/>
      <c r="H15" s="29"/>
      <c r="I15" s="29"/>
      <c r="J15" s="29"/>
      <c r="K15" s="29"/>
      <c r="L15" s="29"/>
      <c r="M15" s="29"/>
      <c r="N15" s="27">
        <f>MAX(Table11[[#This Row],[Feb]:[Dec]])</f>
        <v>32541</v>
      </c>
      <c r="O15" s="27">
        <v>32541</v>
      </c>
      <c r="Q15" s="27">
        <f>Table11[[#This Row],[Overaall Reached]]*0.48</f>
        <v>15619.68</v>
      </c>
      <c r="R15" s="27">
        <f>Table11[[#This Row],[Overaall Reached]]-Table14[[#This Row],[Male]]</f>
        <v>16921.32</v>
      </c>
      <c r="S15" s="27">
        <f>Table11[[#This Row],[Overaall Reached]]*0.07</f>
        <v>2277.8700000000003</v>
      </c>
    </row>
    <row r="16" spans="1:19" x14ac:dyDescent="0.25">
      <c r="A16" s="28" t="s">
        <v>15</v>
      </c>
      <c r="B16" s="29" t="s">
        <v>16</v>
      </c>
      <c r="C16" s="29">
        <v>67725</v>
      </c>
      <c r="D16" s="29">
        <v>67725</v>
      </c>
      <c r="E16" s="29">
        <v>69471</v>
      </c>
      <c r="F16" s="29">
        <v>78192</v>
      </c>
      <c r="G16" s="29"/>
      <c r="H16" s="29"/>
      <c r="I16" s="29"/>
      <c r="J16" s="29"/>
      <c r="K16" s="29"/>
      <c r="L16" s="29"/>
      <c r="M16" s="29"/>
      <c r="N16" s="27">
        <f>MAX(Table11[[#This Row],[Feb]:[Dec]])</f>
        <v>78192</v>
      </c>
      <c r="O16" s="27">
        <v>78192</v>
      </c>
      <c r="Q16" s="27">
        <f>Table11[[#This Row],[Overaall Reached]]*0.48</f>
        <v>37532.159999999996</v>
      </c>
      <c r="R16" s="27">
        <f>Table11[[#This Row],[Overaall Reached]]-Table14[[#This Row],[Male]]</f>
        <v>40659.840000000004</v>
      </c>
      <c r="S16" s="27">
        <f>Table11[[#This Row],[Overaall Reached]]*0.07</f>
        <v>5473.4400000000005</v>
      </c>
    </row>
    <row r="17" spans="1:19" x14ac:dyDescent="0.25">
      <c r="A17" s="28" t="s">
        <v>15</v>
      </c>
      <c r="B17" s="29" t="s">
        <v>17</v>
      </c>
      <c r="C17" s="29">
        <v>23043</v>
      </c>
      <c r="D17" s="29"/>
      <c r="E17" s="29">
        <v>23007</v>
      </c>
      <c r="F17" s="29"/>
      <c r="G17" s="29"/>
      <c r="H17" s="29"/>
      <c r="I17" s="29"/>
      <c r="J17" s="29"/>
      <c r="K17" s="29"/>
      <c r="L17" s="29"/>
      <c r="M17" s="29"/>
      <c r="N17" s="27">
        <f>MAX(Table11[[#This Row],[Feb]:[Dec]])</f>
        <v>23043</v>
      </c>
      <c r="O17" s="27">
        <v>23043</v>
      </c>
      <c r="Q17" s="27">
        <f>Table11[[#This Row],[Overaall Reached]]*0.48</f>
        <v>11060.64</v>
      </c>
      <c r="R17" s="27">
        <f>Table11[[#This Row],[Overaall Reached]]-Table14[[#This Row],[Male]]</f>
        <v>11982.36</v>
      </c>
      <c r="S17" s="27">
        <f>Table11[[#This Row],[Overaall Reached]]*0.07</f>
        <v>1613.0100000000002</v>
      </c>
    </row>
    <row r="18" spans="1:19" x14ac:dyDescent="0.25">
      <c r="A18" s="28" t="s">
        <v>15</v>
      </c>
      <c r="B18" s="29" t="s">
        <v>18</v>
      </c>
      <c r="C18" s="29">
        <v>60019</v>
      </c>
      <c r="D18" s="29"/>
      <c r="E18" s="29">
        <v>63537</v>
      </c>
      <c r="F18" s="29"/>
      <c r="G18" s="29"/>
      <c r="H18" s="29"/>
      <c r="I18" s="29"/>
      <c r="J18" s="29"/>
      <c r="K18" s="29"/>
      <c r="L18" s="29"/>
      <c r="M18" s="29"/>
      <c r="N18" s="27">
        <f>MAX(Table11[[#This Row],[Feb]:[Dec]])</f>
        <v>63537</v>
      </c>
      <c r="O18" s="27">
        <v>63537</v>
      </c>
      <c r="Q18" s="27">
        <f>Table11[[#This Row],[Overaall Reached]]*0.48</f>
        <v>30497.759999999998</v>
      </c>
      <c r="R18" s="27">
        <f>Table11[[#This Row],[Overaall Reached]]-Table14[[#This Row],[Male]]</f>
        <v>33039.240000000005</v>
      </c>
      <c r="S18" s="27">
        <f>Table11[[#This Row],[Overaall Reached]]*0.07</f>
        <v>4447.59</v>
      </c>
    </row>
    <row r="19" spans="1:19" x14ac:dyDescent="0.25">
      <c r="A19" s="28" t="s">
        <v>15</v>
      </c>
      <c r="B19" s="29" t="s">
        <v>22</v>
      </c>
      <c r="C19" s="29">
        <v>42796.4</v>
      </c>
      <c r="D19" s="29">
        <v>61199</v>
      </c>
      <c r="E19" s="29">
        <v>33767</v>
      </c>
      <c r="F19" s="29">
        <v>36643</v>
      </c>
      <c r="G19" s="29">
        <v>36663</v>
      </c>
      <c r="H19" s="29">
        <v>23903</v>
      </c>
      <c r="I19" s="29">
        <v>24407</v>
      </c>
      <c r="J19" s="29"/>
      <c r="K19" s="29"/>
      <c r="L19" s="29"/>
      <c r="M19" s="29"/>
      <c r="N19" s="27">
        <f>MAX(Table11[[#This Row],[Feb]:[Dec]])</f>
        <v>61199</v>
      </c>
      <c r="O19" s="27">
        <v>61199</v>
      </c>
      <c r="Q19" s="27">
        <f>Table11[[#This Row],[Overaall Reached]]*0.48</f>
        <v>29375.52</v>
      </c>
      <c r="R19" s="27">
        <f>Table11[[#This Row],[Overaall Reached]]-Table14[[#This Row],[Male]]</f>
        <v>31823.48</v>
      </c>
      <c r="S19" s="27">
        <f>Table11[[#This Row],[Overaall Reached]]*0.07</f>
        <v>4283.93</v>
      </c>
    </row>
    <row r="20" spans="1:19" x14ac:dyDescent="0.25">
      <c r="A20" s="28" t="s">
        <v>15</v>
      </c>
      <c r="B20" s="29" t="s">
        <v>19</v>
      </c>
      <c r="C20" s="29">
        <v>184535</v>
      </c>
      <c r="D20" s="29">
        <v>99167</v>
      </c>
      <c r="E20" s="29">
        <v>123680</v>
      </c>
      <c r="F20" s="29">
        <v>93148</v>
      </c>
      <c r="G20" s="29"/>
      <c r="H20" s="29">
        <v>4597</v>
      </c>
      <c r="I20" s="29">
        <v>4637</v>
      </c>
      <c r="J20" s="29"/>
      <c r="K20" s="29"/>
      <c r="L20" s="29"/>
      <c r="M20" s="29"/>
      <c r="N20" s="27">
        <f>Table11[[#This Row],[Feb]]</f>
        <v>184535</v>
      </c>
      <c r="O20" s="27">
        <v>123680</v>
      </c>
      <c r="Q20" s="27">
        <f>Table11[[#This Row],[Overaall Reached]]*0.48</f>
        <v>59366.399999999994</v>
      </c>
      <c r="R20" s="27">
        <f>Table11[[#This Row],[Overaall Reached]]-Table14[[#This Row],[Male]]</f>
        <v>64313.600000000006</v>
      </c>
      <c r="S20" s="27">
        <f>Table11[[#This Row],[Overaall Reached]]*0.07</f>
        <v>8657.6</v>
      </c>
    </row>
    <row r="21" spans="1:19" x14ac:dyDescent="0.25">
      <c r="A21" s="28" t="s">
        <v>15</v>
      </c>
      <c r="B21" s="29" t="s">
        <v>20</v>
      </c>
      <c r="C21" s="29">
        <v>44590</v>
      </c>
      <c r="D21" s="29"/>
      <c r="E21" s="29">
        <v>31305</v>
      </c>
      <c r="F21" s="29">
        <v>51083</v>
      </c>
      <c r="G21" s="29"/>
      <c r="H21" s="29">
        <v>19280</v>
      </c>
      <c r="I21" s="29">
        <v>34222</v>
      </c>
      <c r="J21" s="29"/>
      <c r="K21" s="29"/>
      <c r="L21" s="29"/>
      <c r="M21" s="29"/>
      <c r="N21" s="27">
        <f>MAX(Table11[[#This Row],[Feb]:[Dec]])</f>
        <v>51083</v>
      </c>
      <c r="O21" s="27">
        <v>51083</v>
      </c>
      <c r="Q21" s="27">
        <f>Table11[[#This Row],[Overaall Reached]]*0.48</f>
        <v>24519.84</v>
      </c>
      <c r="R21" s="27">
        <f>Table11[[#This Row],[Overaall Reached]]-Table14[[#This Row],[Male]]</f>
        <v>26563.16</v>
      </c>
      <c r="S21" s="27">
        <f>Table11[[#This Row],[Overaall Reached]]*0.07</f>
        <v>3575.8100000000004</v>
      </c>
    </row>
    <row r="22" spans="1:19" x14ac:dyDescent="0.25">
      <c r="A22" s="28" t="s">
        <v>15</v>
      </c>
      <c r="B22" s="29" t="s">
        <v>21</v>
      </c>
      <c r="C22" s="29">
        <v>45741</v>
      </c>
      <c r="D22" s="29">
        <v>1359</v>
      </c>
      <c r="E22" s="29">
        <v>41880</v>
      </c>
      <c r="F22" s="29">
        <v>7300</v>
      </c>
      <c r="G22" s="29"/>
      <c r="H22" s="29"/>
      <c r="I22" s="29"/>
      <c r="J22" s="29"/>
      <c r="K22" s="29"/>
      <c r="L22" s="29"/>
      <c r="M22" s="29"/>
      <c r="N22" s="27">
        <f>MAX(Table11[[#This Row],[Feb]:[Dec]])</f>
        <v>45741</v>
      </c>
      <c r="O22" s="27">
        <v>45741</v>
      </c>
      <c r="Q22" s="27">
        <f>Table11[[#This Row],[Overaall Reached]]*0.48</f>
        <v>21955.68</v>
      </c>
      <c r="R22" s="27">
        <f>Table11[[#This Row],[Overaall Reached]]-Table14[[#This Row],[Male]]</f>
        <v>23785.32</v>
      </c>
      <c r="S22" s="27">
        <f>Table11[[#This Row],[Overaall Reached]]*0.07</f>
        <v>3201.8700000000003</v>
      </c>
    </row>
    <row r="23" spans="1:19" x14ac:dyDescent="0.25">
      <c r="A23" s="28" t="s">
        <v>25</v>
      </c>
      <c r="B23" s="29" t="s">
        <v>26</v>
      </c>
      <c r="C23" s="29">
        <v>21966</v>
      </c>
      <c r="D23" s="29">
        <v>21085</v>
      </c>
      <c r="E23" s="29">
        <v>23662</v>
      </c>
      <c r="F23" s="29">
        <v>24493</v>
      </c>
      <c r="G23" s="29">
        <v>24778</v>
      </c>
      <c r="H23" s="29">
        <v>23523</v>
      </c>
      <c r="I23" s="29">
        <v>23822</v>
      </c>
      <c r="J23" s="29"/>
      <c r="K23" s="29"/>
      <c r="L23" s="29"/>
      <c r="M23" s="29"/>
      <c r="N23" s="27">
        <f>MAX(Table11[[#This Row],[Feb]:[Dec]])</f>
        <v>24778</v>
      </c>
      <c r="O23" s="27">
        <v>24778</v>
      </c>
      <c r="Q23" s="27">
        <f>Table11[[#This Row],[Overaall Reached]]*0.48</f>
        <v>11893.439999999999</v>
      </c>
      <c r="R23" s="27">
        <f>Table11[[#This Row],[Overaall Reached]]-Table14[[#This Row],[Male]]</f>
        <v>12884.560000000001</v>
      </c>
      <c r="S23" s="27">
        <f>Table11[[#This Row],[Overaall Reached]]*0.07</f>
        <v>1734.4600000000003</v>
      </c>
    </row>
    <row r="24" spans="1:19" x14ac:dyDescent="0.25">
      <c r="A24" s="28" t="s">
        <v>25</v>
      </c>
      <c r="B24" s="29" t="s">
        <v>27</v>
      </c>
      <c r="C24" s="29">
        <v>57487</v>
      </c>
      <c r="D24" s="29">
        <v>58057</v>
      </c>
      <c r="E24" s="29">
        <v>58210</v>
      </c>
      <c r="F24" s="29"/>
      <c r="G24" s="29"/>
      <c r="H24" s="29"/>
      <c r="I24" s="29"/>
      <c r="J24" s="29"/>
      <c r="K24" s="29"/>
      <c r="L24" s="29"/>
      <c r="M24" s="29"/>
      <c r="N24" s="27">
        <f>MAX(Table11[[#This Row],[Feb]:[Dec]])</f>
        <v>58210</v>
      </c>
      <c r="O24" s="27">
        <v>58210</v>
      </c>
      <c r="Q24" s="27">
        <f>Table11[[#This Row],[Overaall Reached]]*0.48</f>
        <v>27940.799999999999</v>
      </c>
      <c r="R24" s="27">
        <f>Table11[[#This Row],[Overaall Reached]]-Table14[[#This Row],[Male]]</f>
        <v>30269.200000000001</v>
      </c>
      <c r="S24" s="27">
        <f>Table11[[#This Row],[Overaall Reached]]*0.07</f>
        <v>4074.7000000000003</v>
      </c>
    </row>
    <row r="25" spans="1:19" x14ac:dyDescent="0.25">
      <c r="A25" s="28" t="s">
        <v>25</v>
      </c>
      <c r="B25" s="29" t="s">
        <v>28</v>
      </c>
      <c r="C25" s="29">
        <v>13713</v>
      </c>
      <c r="D25" s="29"/>
      <c r="E25" s="29">
        <v>22600</v>
      </c>
      <c r="F25" s="29"/>
      <c r="G25" s="29"/>
      <c r="H25" s="29"/>
      <c r="I25" s="29"/>
      <c r="J25" s="29"/>
      <c r="K25" s="29"/>
      <c r="L25" s="29"/>
      <c r="M25" s="29"/>
      <c r="N25" s="27">
        <f>MAX(Table11[[#This Row],[Feb]:[Dec]])</f>
        <v>22600</v>
      </c>
      <c r="O25" s="27">
        <v>22600</v>
      </c>
      <c r="Q25" s="27">
        <f>Table11[[#This Row],[Overaall Reached]]*0.48</f>
        <v>10848</v>
      </c>
      <c r="R25" s="27">
        <f>Table11[[#This Row],[Overaall Reached]]-Table14[[#This Row],[Male]]</f>
        <v>11752</v>
      </c>
      <c r="S25" s="27">
        <f>Table11[[#This Row],[Overaall Reached]]*0.07</f>
        <v>1582.0000000000002</v>
      </c>
    </row>
    <row r="26" spans="1:19" x14ac:dyDescent="0.25">
      <c r="A26" s="28" t="s">
        <v>25</v>
      </c>
      <c r="B26" s="29" t="s">
        <v>102</v>
      </c>
      <c r="C26" s="29">
        <v>26079</v>
      </c>
      <c r="D26" s="29"/>
      <c r="E26" s="29">
        <v>27498</v>
      </c>
      <c r="F26" s="29"/>
      <c r="G26" s="29">
        <v>3006</v>
      </c>
      <c r="H26" s="29"/>
      <c r="I26" s="29">
        <v>3006</v>
      </c>
      <c r="J26" s="29"/>
      <c r="K26" s="29"/>
      <c r="L26" s="29"/>
      <c r="M26" s="29"/>
      <c r="N26" s="27">
        <f>MAX(Table11[[#This Row],[Feb]:[Dec]])</f>
        <v>27498</v>
      </c>
      <c r="O26" s="27">
        <v>27498</v>
      </c>
      <c r="Q26" s="27">
        <f>Table11[[#This Row],[Overaall Reached]]*0.48</f>
        <v>13199.039999999999</v>
      </c>
      <c r="R26" s="27">
        <f>Table11[[#This Row],[Overaall Reached]]-Table14[[#This Row],[Male]]</f>
        <v>14298.960000000001</v>
      </c>
      <c r="S26" s="27">
        <f>Table11[[#This Row],[Overaall Reached]]*0.07</f>
        <v>1924.8600000000001</v>
      </c>
    </row>
    <row r="27" spans="1:19" x14ac:dyDescent="0.25">
      <c r="A27" s="28" t="s">
        <v>25</v>
      </c>
      <c r="B27" s="29" t="s">
        <v>33</v>
      </c>
      <c r="C27" s="29">
        <v>11066</v>
      </c>
      <c r="D27" s="29">
        <v>9962</v>
      </c>
      <c r="E27" s="29">
        <v>29494</v>
      </c>
      <c r="F27" s="29">
        <v>14620</v>
      </c>
      <c r="G27" s="29">
        <v>15000</v>
      </c>
      <c r="H27" s="29"/>
      <c r="I27" s="29">
        <v>10597</v>
      </c>
      <c r="J27" s="29"/>
      <c r="K27" s="29"/>
      <c r="L27" s="29"/>
      <c r="M27" s="29"/>
      <c r="N27" s="27">
        <f>MAX(Table11[[#This Row],[Feb]:[Dec]])</f>
        <v>29494</v>
      </c>
      <c r="O27" s="27">
        <v>29494</v>
      </c>
      <c r="Q27" s="27">
        <f>Table11[[#This Row],[Overaall Reached]]*0.48</f>
        <v>14157.119999999999</v>
      </c>
      <c r="R27" s="27">
        <f>Table11[[#This Row],[Overaall Reached]]-Table14[[#This Row],[Male]]</f>
        <v>15336.880000000001</v>
      </c>
      <c r="S27" s="27">
        <f>Table11[[#This Row],[Overaall Reached]]*0.07</f>
        <v>2064.5800000000004</v>
      </c>
    </row>
    <row r="28" spans="1:19" x14ac:dyDescent="0.25">
      <c r="A28" s="28" t="s">
        <v>25</v>
      </c>
      <c r="B28" s="29" t="s">
        <v>29</v>
      </c>
      <c r="C28" s="29">
        <v>51422</v>
      </c>
      <c r="D28" s="29">
        <v>51422</v>
      </c>
      <c r="E28" s="29">
        <v>112936</v>
      </c>
      <c r="F28" s="29">
        <v>54289</v>
      </c>
      <c r="G28" s="29">
        <v>58981</v>
      </c>
      <c r="H28" s="29">
        <v>33656</v>
      </c>
      <c r="I28" s="29">
        <v>36317</v>
      </c>
      <c r="J28" s="29"/>
      <c r="K28" s="29"/>
      <c r="L28" s="29"/>
      <c r="M28" s="29"/>
      <c r="N28" s="27">
        <f>MAX(Table11[[#This Row],[Feb]:[Dec]])</f>
        <v>112936</v>
      </c>
      <c r="O28" s="27">
        <v>58981</v>
      </c>
      <c r="Q28" s="27">
        <f>Table11[[#This Row],[Overaall Reached]]*0.48</f>
        <v>28310.879999999997</v>
      </c>
      <c r="R28" s="27">
        <f>Table11[[#This Row],[Overaall Reached]]-Table14[[#This Row],[Male]]</f>
        <v>30670.120000000003</v>
      </c>
      <c r="S28" s="27">
        <f>Table11[[#This Row],[Overaall Reached]]*0.07</f>
        <v>4128.67</v>
      </c>
    </row>
    <row r="29" spans="1:19" x14ac:dyDescent="0.25">
      <c r="A29" s="28" t="s">
        <v>25</v>
      </c>
      <c r="B29" s="29" t="s">
        <v>30</v>
      </c>
      <c r="C29" s="29">
        <v>37080</v>
      </c>
      <c r="D29" s="29"/>
      <c r="E29" s="29">
        <v>52972</v>
      </c>
      <c r="F29" s="29"/>
      <c r="G29" s="29"/>
      <c r="H29" s="29"/>
      <c r="I29" s="29"/>
      <c r="J29" s="29"/>
      <c r="K29" s="29"/>
      <c r="L29" s="29"/>
      <c r="M29" s="29"/>
      <c r="N29" s="27">
        <f>MAX(Table11[[#This Row],[Feb]:[Dec]])</f>
        <v>52972</v>
      </c>
      <c r="O29" s="27">
        <v>52972</v>
      </c>
      <c r="Q29" s="27">
        <f>Table11[[#This Row],[Overaall Reached]]*0.48</f>
        <v>25426.559999999998</v>
      </c>
      <c r="R29" s="27">
        <f>Table11[[#This Row],[Overaall Reached]]-Table14[[#This Row],[Male]]</f>
        <v>27545.440000000002</v>
      </c>
      <c r="S29" s="27">
        <f>Table11[[#This Row],[Overaall Reached]]*0.07</f>
        <v>3708.0400000000004</v>
      </c>
    </row>
    <row r="30" spans="1:19" x14ac:dyDescent="0.25">
      <c r="A30" s="28" t="s">
        <v>25</v>
      </c>
      <c r="B30" s="29" t="s">
        <v>31</v>
      </c>
      <c r="C30" s="29">
        <v>26954</v>
      </c>
      <c r="D30" s="29"/>
      <c r="E30" s="29">
        <v>27135</v>
      </c>
      <c r="F30" s="29"/>
      <c r="G30" s="29">
        <v>1071</v>
      </c>
      <c r="H30" s="29"/>
      <c r="I30" s="29"/>
      <c r="J30" s="29"/>
      <c r="K30" s="29"/>
      <c r="L30" s="29"/>
      <c r="M30" s="29"/>
      <c r="N30" s="27">
        <f>MAX(Table11[[#This Row],[Feb]:[Dec]])</f>
        <v>27135</v>
      </c>
      <c r="O30" s="27">
        <v>27135</v>
      </c>
      <c r="Q30" s="27">
        <f>Table11[[#This Row],[Overaall Reached]]*0.48</f>
        <v>13024.8</v>
      </c>
      <c r="R30" s="27">
        <f>Table11[[#This Row],[Overaall Reached]]-Table14[[#This Row],[Male]]</f>
        <v>14110.2</v>
      </c>
      <c r="S30" s="27">
        <f>Table11[[#This Row],[Overaall Reached]]*0.07</f>
        <v>1899.4500000000003</v>
      </c>
    </row>
    <row r="31" spans="1:19" x14ac:dyDescent="0.25">
      <c r="A31" s="28" t="s">
        <v>25</v>
      </c>
      <c r="B31" s="29" t="s">
        <v>32</v>
      </c>
      <c r="C31" s="29">
        <v>18661</v>
      </c>
      <c r="D31" s="29">
        <v>18717</v>
      </c>
      <c r="E31" s="29">
        <v>18611</v>
      </c>
      <c r="F31" s="29">
        <v>8400</v>
      </c>
      <c r="G31" s="29"/>
      <c r="H31" s="29"/>
      <c r="I31" s="29">
        <v>1010</v>
      </c>
      <c r="J31" s="29"/>
      <c r="K31" s="29"/>
      <c r="L31" s="29"/>
      <c r="M31" s="29"/>
      <c r="N31" s="27">
        <f>MAX(Table11[[#This Row],[Feb]:[Dec]])</f>
        <v>18717</v>
      </c>
      <c r="O31" s="27">
        <v>18717</v>
      </c>
      <c r="Q31" s="27">
        <f>Table11[[#This Row],[Overaall Reached]]*0.48</f>
        <v>8984.16</v>
      </c>
      <c r="R31" s="27">
        <f>Table11[[#This Row],[Overaall Reached]]-Table14[[#This Row],[Male]]</f>
        <v>9732.84</v>
      </c>
      <c r="S31" s="27">
        <f>Table11[[#This Row],[Overaall Reached]]*0.07</f>
        <v>1310.19</v>
      </c>
    </row>
    <row r="32" spans="1:19" x14ac:dyDescent="0.25">
      <c r="A32" s="28" t="s">
        <v>25</v>
      </c>
      <c r="B32" s="29" t="s">
        <v>101</v>
      </c>
      <c r="C32" s="29">
        <v>77429</v>
      </c>
      <c r="D32" s="29"/>
      <c r="E32" s="29">
        <v>77480</v>
      </c>
      <c r="F32" s="29">
        <v>46434</v>
      </c>
      <c r="G32" s="29">
        <v>46620</v>
      </c>
      <c r="H32" s="29">
        <v>17527</v>
      </c>
      <c r="I32" s="29">
        <v>17650</v>
      </c>
      <c r="J32" s="29"/>
      <c r="K32" s="29"/>
      <c r="L32" s="29"/>
      <c r="M32" s="29"/>
      <c r="N32" s="27">
        <f>MAX(Table11[[#This Row],[Feb]:[Dec]])</f>
        <v>77480</v>
      </c>
      <c r="O32" s="27">
        <v>77480</v>
      </c>
      <c r="Q32" s="27">
        <f>Table11[[#This Row],[Overaall Reached]]*0.48</f>
        <v>37190.400000000001</v>
      </c>
      <c r="R32" s="27">
        <f>Table11[[#This Row],[Overaall Reached]]-Table14[[#This Row],[Male]]</f>
        <v>40289.599999999999</v>
      </c>
      <c r="S32" s="27">
        <f>Table11[[#This Row],[Overaall Reached]]*0.07</f>
        <v>5423.6</v>
      </c>
    </row>
    <row r="33" spans="1:19" x14ac:dyDescent="0.25">
      <c r="A33" s="28" t="s">
        <v>35</v>
      </c>
      <c r="B33" s="29" t="s">
        <v>99</v>
      </c>
      <c r="C33" s="29">
        <v>76324</v>
      </c>
      <c r="D33" s="29"/>
      <c r="E33" s="29">
        <v>76554</v>
      </c>
      <c r="F33" s="29"/>
      <c r="G33" s="29"/>
      <c r="H33" s="29"/>
      <c r="I33" s="29"/>
      <c r="J33" s="29"/>
      <c r="K33" s="29"/>
      <c r="L33" s="29"/>
      <c r="M33" s="29"/>
      <c r="N33" s="27">
        <f>MAX(Table11[[#This Row],[Feb]:[Dec]])</f>
        <v>76554</v>
      </c>
      <c r="O33" s="27">
        <v>76554</v>
      </c>
      <c r="Q33" s="27">
        <f>Table11[[#This Row],[Overaall Reached]]*0.48</f>
        <v>36745.919999999998</v>
      </c>
      <c r="R33" s="27">
        <f>Table11[[#This Row],[Overaall Reached]]-Table14[[#This Row],[Male]]</f>
        <v>39808.080000000002</v>
      </c>
      <c r="S33" s="27">
        <f>Table11[[#This Row],[Overaall Reached]]*0.07</f>
        <v>5358.7800000000007</v>
      </c>
    </row>
    <row r="34" spans="1:19" x14ac:dyDescent="0.25">
      <c r="A34" s="28" t="s">
        <v>35</v>
      </c>
      <c r="B34" s="29" t="s">
        <v>36</v>
      </c>
      <c r="C34" s="29">
        <v>95580</v>
      </c>
      <c r="D34" s="29">
        <v>87491</v>
      </c>
      <c r="E34" s="29">
        <v>87391</v>
      </c>
      <c r="F34" s="29"/>
      <c r="G34" s="29"/>
      <c r="H34" s="29"/>
      <c r="I34" s="29"/>
      <c r="J34" s="29"/>
      <c r="K34" s="29"/>
      <c r="L34" s="29"/>
      <c r="M34" s="29"/>
      <c r="N34" s="27">
        <f>MAX(Table11[[#This Row],[Feb]:[Dec]])</f>
        <v>95580</v>
      </c>
      <c r="O34" s="27">
        <v>87391</v>
      </c>
      <c r="Q34" s="27">
        <f>Table11[[#This Row],[Overaall Reached]]*0.48</f>
        <v>41947.68</v>
      </c>
      <c r="R34" s="27">
        <f>Table11[[#This Row],[Overaall Reached]]-Table14[[#This Row],[Male]]</f>
        <v>45443.32</v>
      </c>
      <c r="S34" s="27">
        <f>Table11[[#This Row],[Overaall Reached]]*0.07</f>
        <v>6117.3700000000008</v>
      </c>
    </row>
    <row r="35" spans="1:19" x14ac:dyDescent="0.25">
      <c r="A35" s="28" t="s">
        <v>35</v>
      </c>
      <c r="B35" s="29" t="s">
        <v>100</v>
      </c>
      <c r="C35" s="29">
        <v>18227</v>
      </c>
      <c r="D35" s="29">
        <v>36670</v>
      </c>
      <c r="E35" s="29">
        <v>18443</v>
      </c>
      <c r="F35" s="29">
        <v>17297</v>
      </c>
      <c r="G35" s="29">
        <v>18374</v>
      </c>
      <c r="H35" s="29">
        <v>12092</v>
      </c>
      <c r="I35" s="29">
        <v>13036</v>
      </c>
      <c r="J35" s="29"/>
      <c r="K35" s="29"/>
      <c r="L35" s="29"/>
      <c r="M35" s="29"/>
      <c r="N35" s="27">
        <f>MAX(Table11[[#This Row],[Feb]:[Dec]])</f>
        <v>36670</v>
      </c>
      <c r="O35" s="27">
        <v>36670</v>
      </c>
      <c r="Q35" s="27">
        <f>Table11[[#This Row],[Overaall Reached]]*0.48</f>
        <v>17601.599999999999</v>
      </c>
      <c r="R35" s="27">
        <f>Table11[[#This Row],[Overaall Reached]]-Table14[[#This Row],[Male]]</f>
        <v>19068.400000000001</v>
      </c>
      <c r="S35" s="27">
        <f>Table11[[#This Row],[Overaall Reached]]*0.07</f>
        <v>2566.9</v>
      </c>
    </row>
    <row r="36" spans="1:19" x14ac:dyDescent="0.25">
      <c r="A36" s="28" t="s">
        <v>35</v>
      </c>
      <c r="B36" s="29" t="s">
        <v>38</v>
      </c>
      <c r="C36" s="29">
        <v>12315</v>
      </c>
      <c r="D36" s="29">
        <v>12315</v>
      </c>
      <c r="E36" s="29">
        <v>38138</v>
      </c>
      <c r="F36" s="29">
        <v>39932</v>
      </c>
      <c r="G36" s="29"/>
      <c r="H36" s="29"/>
      <c r="I36" s="29"/>
      <c r="J36" s="29"/>
      <c r="K36" s="29"/>
      <c r="L36" s="29"/>
      <c r="M36" s="29"/>
      <c r="N36" s="27">
        <f>MAX(Table11[[#This Row],[Feb]:[Dec]])</f>
        <v>39932</v>
      </c>
      <c r="O36" s="27">
        <v>39932</v>
      </c>
      <c r="Q36" s="27">
        <f>Table11[[#This Row],[Overaall Reached]]*0.48</f>
        <v>19167.36</v>
      </c>
      <c r="R36" s="27">
        <f>Table11[[#This Row],[Overaall Reached]]-Table14[[#This Row],[Male]]</f>
        <v>20764.64</v>
      </c>
      <c r="S36" s="27">
        <f>Table11[[#This Row],[Overaall Reached]]*0.07</f>
        <v>2795.2400000000002</v>
      </c>
    </row>
    <row r="37" spans="1:19" x14ac:dyDescent="0.25">
      <c r="A37" s="28" t="s">
        <v>35</v>
      </c>
      <c r="B37" s="29" t="s">
        <v>45</v>
      </c>
      <c r="C37" s="29">
        <v>29700</v>
      </c>
      <c r="D37" s="29">
        <v>49255</v>
      </c>
      <c r="E37" s="29">
        <v>49680</v>
      </c>
      <c r="F37" s="29"/>
      <c r="G37" s="29"/>
      <c r="H37" s="29"/>
      <c r="I37" s="29"/>
      <c r="J37" s="29"/>
      <c r="K37" s="29"/>
      <c r="L37" s="29"/>
      <c r="M37" s="29"/>
      <c r="N37" s="27">
        <f>MAX(Table11[[#This Row],[Feb]:[Dec]])</f>
        <v>49680</v>
      </c>
      <c r="O37" s="27">
        <v>49680</v>
      </c>
      <c r="Q37" s="27">
        <f>Table11[[#This Row],[Overaall Reached]]*0.48</f>
        <v>23846.399999999998</v>
      </c>
      <c r="R37" s="27">
        <f>Table11[[#This Row],[Overaall Reached]]-Table14[[#This Row],[Male]]</f>
        <v>25833.600000000002</v>
      </c>
      <c r="S37" s="27">
        <f>Table11[[#This Row],[Overaall Reached]]*0.07</f>
        <v>3477.6000000000004</v>
      </c>
    </row>
    <row r="38" spans="1:19" x14ac:dyDescent="0.25">
      <c r="A38" s="28" t="s">
        <v>35</v>
      </c>
      <c r="B38" s="29" t="s">
        <v>170</v>
      </c>
      <c r="C38" s="29"/>
      <c r="D38" s="29">
        <v>14322</v>
      </c>
      <c r="E38" s="29">
        <v>34789</v>
      </c>
      <c r="F38" s="29"/>
      <c r="G38" s="29">
        <v>19000</v>
      </c>
      <c r="H38" s="29"/>
      <c r="I38" s="29">
        <v>18124</v>
      </c>
      <c r="J38" s="29"/>
      <c r="K38" s="29"/>
      <c r="L38" s="29"/>
      <c r="M38" s="29"/>
      <c r="N38" s="27">
        <f>MAX(Table11[[#This Row],[Feb]:[Dec]])</f>
        <v>34789</v>
      </c>
      <c r="O38" s="27">
        <v>34789</v>
      </c>
      <c r="Q38" s="27">
        <f>Table11[[#This Row],[Overaall Reached]]*0.48</f>
        <v>16698.72</v>
      </c>
      <c r="R38" s="27">
        <f>Table11[[#This Row],[Overaall Reached]]-Table14[[#This Row],[Male]]</f>
        <v>18090.28</v>
      </c>
      <c r="S38" s="27">
        <f>Table11[[#This Row],[Overaall Reached]]*0.07</f>
        <v>2435.23</v>
      </c>
    </row>
    <row r="39" spans="1:19" x14ac:dyDescent="0.25">
      <c r="A39" s="28" t="s">
        <v>35</v>
      </c>
      <c r="B39" s="29" t="s">
        <v>46</v>
      </c>
      <c r="C39" s="29">
        <v>42858</v>
      </c>
      <c r="D39" s="29"/>
      <c r="E39" s="29">
        <v>30482</v>
      </c>
      <c r="F39" s="29"/>
      <c r="G39" s="29"/>
      <c r="H39" s="29"/>
      <c r="I39" s="29"/>
      <c r="J39" s="29"/>
      <c r="K39" s="29"/>
      <c r="L39" s="29"/>
      <c r="M39" s="29"/>
      <c r="N39" s="27">
        <f>MAX(Table11[[#This Row],[Feb]:[Dec]])</f>
        <v>42858</v>
      </c>
      <c r="O39" s="27">
        <v>42858</v>
      </c>
      <c r="Q39" s="27">
        <f>Table11[[#This Row],[Overaall Reached]]*0.48</f>
        <v>20571.84</v>
      </c>
      <c r="R39" s="27">
        <f>Table11[[#This Row],[Overaall Reached]]-Table14[[#This Row],[Male]]</f>
        <v>22286.16</v>
      </c>
      <c r="S39" s="27">
        <f>Table11[[#This Row],[Overaall Reached]]*0.07</f>
        <v>3000.0600000000004</v>
      </c>
    </row>
    <row r="40" spans="1:19" x14ac:dyDescent="0.25">
      <c r="A40" s="28" t="s">
        <v>35</v>
      </c>
      <c r="B40" s="29" t="s">
        <v>39</v>
      </c>
      <c r="C40" s="29">
        <v>23128.48</v>
      </c>
      <c r="D40" s="29"/>
      <c r="E40" s="29">
        <v>54879</v>
      </c>
      <c r="F40" s="29"/>
      <c r="G40" s="29"/>
      <c r="H40" s="29"/>
      <c r="I40" s="29"/>
      <c r="J40" s="29"/>
      <c r="K40" s="29"/>
      <c r="L40" s="29"/>
      <c r="M40" s="29"/>
      <c r="N40" s="27">
        <f>MAX(Table11[[#This Row],[Feb]:[Dec]])</f>
        <v>54879</v>
      </c>
      <c r="O40" s="27">
        <v>54879</v>
      </c>
      <c r="Q40" s="27">
        <f>Table11[[#This Row],[Overaall Reached]]*0.48</f>
        <v>26341.919999999998</v>
      </c>
      <c r="R40" s="27">
        <f>Table11[[#This Row],[Overaall Reached]]-Table14[[#This Row],[Male]]</f>
        <v>28537.08</v>
      </c>
      <c r="S40" s="27">
        <f>Table11[[#This Row],[Overaall Reached]]*0.07</f>
        <v>3841.53</v>
      </c>
    </row>
    <row r="41" spans="1:19" x14ac:dyDescent="0.25">
      <c r="A41" s="28" t="s">
        <v>76</v>
      </c>
      <c r="B41" s="29" t="s">
        <v>77</v>
      </c>
      <c r="C41" s="29">
        <v>23765</v>
      </c>
      <c r="D41" s="29">
        <v>25738</v>
      </c>
      <c r="E41" s="29">
        <v>49464</v>
      </c>
      <c r="F41" s="29">
        <v>123</v>
      </c>
      <c r="G41" s="29">
        <v>1135</v>
      </c>
      <c r="H41" s="29"/>
      <c r="I41" s="29">
        <v>51852</v>
      </c>
      <c r="J41" s="29"/>
      <c r="K41" s="29"/>
      <c r="L41" s="29"/>
      <c r="M41" s="29"/>
      <c r="N41" s="27">
        <f>MAX(Table11[[#This Row],[Feb]:[Dec]])</f>
        <v>51852</v>
      </c>
      <c r="O41" s="27">
        <v>51852</v>
      </c>
      <c r="Q41" s="27">
        <f>Table11[[#This Row],[Overaall Reached]]*0.48</f>
        <v>24888.959999999999</v>
      </c>
      <c r="R41" s="27">
        <f>Table11[[#This Row],[Overaall Reached]]-Table14[[#This Row],[Male]]</f>
        <v>26963.040000000001</v>
      </c>
      <c r="S41" s="27">
        <f>Table11[[#This Row],[Overaall Reached]]*0.07</f>
        <v>3629.6400000000003</v>
      </c>
    </row>
    <row r="42" spans="1:19" x14ac:dyDescent="0.25">
      <c r="A42" s="28" t="s">
        <v>76</v>
      </c>
      <c r="B42" s="29" t="s">
        <v>91</v>
      </c>
      <c r="C42" s="29">
        <v>81343</v>
      </c>
      <c r="D42" s="29">
        <v>47036</v>
      </c>
      <c r="E42" s="29">
        <v>13004</v>
      </c>
      <c r="F42" s="29">
        <v>142464</v>
      </c>
      <c r="G42" s="29">
        <v>82104</v>
      </c>
      <c r="H42" s="29">
        <v>80090</v>
      </c>
      <c r="I42" s="29">
        <v>84976</v>
      </c>
      <c r="J42" s="29"/>
      <c r="K42" s="29"/>
      <c r="L42" s="29"/>
      <c r="M42" s="29"/>
      <c r="N42" s="27">
        <f>Table11[[#This Row],[Aug]]</f>
        <v>84976</v>
      </c>
      <c r="O42" s="27">
        <v>84976</v>
      </c>
      <c r="Q42" s="27">
        <f>Table11[[#This Row],[Overaall Reached]]*0.48</f>
        <v>40788.479999999996</v>
      </c>
      <c r="R42" s="27">
        <f>Table11[[#This Row],[Overaall Reached]]-Table14[[#This Row],[Male]]</f>
        <v>44187.520000000004</v>
      </c>
      <c r="S42" s="27">
        <f>Table11[[#This Row],[Overaall Reached]]*0.07</f>
        <v>5948.3200000000006</v>
      </c>
    </row>
    <row r="43" spans="1:19" x14ac:dyDescent="0.25">
      <c r="A43" s="28" t="s">
        <v>76</v>
      </c>
      <c r="B43" s="29" t="s">
        <v>78</v>
      </c>
      <c r="C43" s="29">
        <v>56898</v>
      </c>
      <c r="D43" s="29">
        <v>59630</v>
      </c>
      <c r="E43" s="29">
        <v>58005</v>
      </c>
      <c r="F43" s="29">
        <v>73363</v>
      </c>
      <c r="G43" s="29">
        <v>6150</v>
      </c>
      <c r="H43" s="29">
        <v>12736</v>
      </c>
      <c r="I43" s="29">
        <v>46915</v>
      </c>
      <c r="J43" s="29"/>
      <c r="K43" s="29"/>
      <c r="L43" s="29"/>
      <c r="M43" s="29"/>
      <c r="N43" s="27">
        <f>Table11[[#This Row],[Aug]]</f>
        <v>46915</v>
      </c>
      <c r="O43" s="27">
        <v>58005</v>
      </c>
      <c r="Q43" s="27">
        <f>Table11[[#This Row],[Overaall Reached]]*0.48</f>
        <v>27842.399999999998</v>
      </c>
      <c r="R43" s="27">
        <f>Table11[[#This Row],[Overaall Reached]]-Table14[[#This Row],[Male]]</f>
        <v>30162.600000000002</v>
      </c>
      <c r="S43" s="27">
        <f>Table11[[#This Row],[Overaall Reached]]*0.07</f>
        <v>4060.3500000000004</v>
      </c>
    </row>
    <row r="44" spans="1:19" x14ac:dyDescent="0.25">
      <c r="A44" s="28" t="s">
        <v>76</v>
      </c>
      <c r="B44" s="29" t="s">
        <v>79</v>
      </c>
      <c r="C44" s="29">
        <v>41453</v>
      </c>
      <c r="D44" s="29">
        <v>41570</v>
      </c>
      <c r="E44" s="29">
        <v>42130</v>
      </c>
      <c r="F44" s="29"/>
      <c r="G44" s="29">
        <v>3110</v>
      </c>
      <c r="H44" s="29"/>
      <c r="I44" s="29">
        <v>3110</v>
      </c>
      <c r="J44" s="29"/>
      <c r="K44" s="29"/>
      <c r="L44" s="29"/>
      <c r="M44" s="29"/>
      <c r="N44" s="27">
        <f>MAX(Table11[[#This Row],[Feb]:[Dec]])</f>
        <v>42130</v>
      </c>
      <c r="O44" s="27">
        <v>42130</v>
      </c>
      <c r="Q44" s="27">
        <f>Table11[[#This Row],[Overaall Reached]]*0.48</f>
        <v>20222.399999999998</v>
      </c>
      <c r="R44" s="27">
        <f>Table11[[#This Row],[Overaall Reached]]-Table14[[#This Row],[Male]]</f>
        <v>21907.600000000002</v>
      </c>
      <c r="S44" s="27">
        <f>Table11[[#This Row],[Overaall Reached]]*0.07</f>
        <v>2949.1000000000004</v>
      </c>
    </row>
    <row r="45" spans="1:19" x14ac:dyDescent="0.25">
      <c r="A45" s="28" t="s">
        <v>76</v>
      </c>
      <c r="B45" s="29" t="s">
        <v>76</v>
      </c>
      <c r="C45" s="29">
        <v>54551</v>
      </c>
      <c r="D45" s="29"/>
      <c r="E45" s="29">
        <v>41515</v>
      </c>
      <c r="F45" s="29"/>
      <c r="G45" s="29"/>
      <c r="H45" s="29"/>
      <c r="I45" s="29"/>
      <c r="J45" s="29"/>
      <c r="K45" s="29"/>
      <c r="L45" s="29"/>
      <c r="M45" s="29"/>
      <c r="N45" s="27">
        <f>MAX(Table11[[#This Row],[Feb]:[Dec]])</f>
        <v>54551</v>
      </c>
      <c r="O45" s="27">
        <v>54551</v>
      </c>
      <c r="Q45" s="27">
        <f>Table11[[#This Row],[Overaall Reached]]*0.48</f>
        <v>26184.48</v>
      </c>
      <c r="R45" s="27">
        <f>Table11[[#This Row],[Overaall Reached]]-Table14[[#This Row],[Male]]</f>
        <v>28366.52</v>
      </c>
      <c r="S45" s="27">
        <f>Table11[[#This Row],[Overaall Reached]]*0.07</f>
        <v>3818.57</v>
      </c>
    </row>
    <row r="46" spans="1:19" x14ac:dyDescent="0.25">
      <c r="A46" s="28" t="s">
        <v>76</v>
      </c>
      <c r="B46" s="29" t="s">
        <v>82</v>
      </c>
      <c r="C46" s="29"/>
      <c r="D46" s="29"/>
      <c r="E46" s="29">
        <v>9843</v>
      </c>
      <c r="F46" s="29">
        <v>5000</v>
      </c>
      <c r="G46" s="29">
        <v>5000</v>
      </c>
      <c r="H46" s="29">
        <v>4685</v>
      </c>
      <c r="I46" s="29"/>
      <c r="J46" s="29"/>
      <c r="K46" s="29"/>
      <c r="L46" s="29"/>
      <c r="M46" s="29"/>
      <c r="N46" s="27">
        <f>MAX(Table11[[#This Row],[Feb]:[Dec]])</f>
        <v>9843</v>
      </c>
      <c r="O46" s="27">
        <v>9843</v>
      </c>
      <c r="Q46" s="27">
        <f>Table11[[#This Row],[Overaall Reached]]*0.48</f>
        <v>4724.6399999999994</v>
      </c>
      <c r="R46" s="27">
        <f>Table11[[#This Row],[Overaall Reached]]-Table14[[#This Row],[Male]]</f>
        <v>5118.3600000000006</v>
      </c>
      <c r="S46" s="27">
        <f>Table11[[#This Row],[Overaall Reached]]*0.07</f>
        <v>689.0100000000001</v>
      </c>
    </row>
    <row r="47" spans="1:19" x14ac:dyDescent="0.25">
      <c r="A47" s="28" t="s">
        <v>76</v>
      </c>
      <c r="B47" s="29" t="s">
        <v>80</v>
      </c>
      <c r="C47" s="29">
        <v>95279</v>
      </c>
      <c r="D47" s="29">
        <v>92049</v>
      </c>
      <c r="E47" s="29">
        <v>82136</v>
      </c>
      <c r="F47" s="29">
        <v>65613</v>
      </c>
      <c r="G47" s="29">
        <v>67046</v>
      </c>
      <c r="H47" s="29">
        <v>12113</v>
      </c>
      <c r="I47" s="29">
        <v>45766</v>
      </c>
      <c r="J47" s="29"/>
      <c r="K47" s="29"/>
      <c r="L47" s="29"/>
      <c r="M47" s="29"/>
      <c r="N47" s="27">
        <f>MAX(Table11[[#This Row],[Feb]:[Dec]])</f>
        <v>95279</v>
      </c>
      <c r="O47" s="27">
        <v>95279</v>
      </c>
      <c r="Q47" s="27">
        <f>Table11[[#This Row],[Overaall Reached]]*0.48</f>
        <v>45733.919999999998</v>
      </c>
      <c r="R47" s="27">
        <f>Table11[[#This Row],[Overaall Reached]]-Table14[[#This Row],[Male]]</f>
        <v>49545.08</v>
      </c>
      <c r="S47" s="27">
        <f>Table11[[#This Row],[Overaall Reached]]*0.07</f>
        <v>6669.5300000000007</v>
      </c>
    </row>
    <row r="48" spans="1:19" x14ac:dyDescent="0.25">
      <c r="A48" s="28" t="s">
        <v>76</v>
      </c>
      <c r="B48" s="29" t="s">
        <v>81</v>
      </c>
      <c r="C48" s="29">
        <v>2200</v>
      </c>
      <c r="D48" s="29">
        <v>65570</v>
      </c>
      <c r="E48" s="29">
        <v>136948</v>
      </c>
      <c r="F48" s="29">
        <v>134565</v>
      </c>
      <c r="G48" s="29"/>
      <c r="H48" s="29"/>
      <c r="I48" s="29"/>
      <c r="J48" s="29"/>
      <c r="K48" s="29"/>
      <c r="L48" s="29"/>
      <c r="M48" s="29"/>
      <c r="N48" s="27">
        <f>MAX(Table11[[#This Row],[Feb]:[Dec]])</f>
        <v>136948</v>
      </c>
      <c r="O48" s="27">
        <v>136948</v>
      </c>
      <c r="Q48" s="27">
        <f>Table11[[#This Row],[Overaall Reached]]*0.48</f>
        <v>65735.039999999994</v>
      </c>
      <c r="R48" s="27">
        <f>Table11[[#This Row],[Overaall Reached]]-Table14[[#This Row],[Male]]</f>
        <v>71212.960000000006</v>
      </c>
      <c r="S48" s="27">
        <f>Table11[[#This Row],[Overaall Reached]]*0.07</f>
        <v>9586.36</v>
      </c>
    </row>
    <row r="49" spans="1:19" x14ac:dyDescent="0.25">
      <c r="A49" s="28" t="s">
        <v>171</v>
      </c>
      <c r="B49" s="29" t="s">
        <v>48</v>
      </c>
      <c r="C49" s="29">
        <v>61077</v>
      </c>
      <c r="D49" s="29">
        <v>97332</v>
      </c>
      <c r="E49" s="29">
        <v>61450</v>
      </c>
      <c r="F49" s="29">
        <v>65356</v>
      </c>
      <c r="G49" s="29">
        <v>65743</v>
      </c>
      <c r="H49" s="29"/>
      <c r="I49" s="29">
        <v>43417</v>
      </c>
      <c r="J49" s="29"/>
      <c r="K49" s="29"/>
      <c r="L49" s="29"/>
      <c r="M49" s="29"/>
      <c r="N49" s="27">
        <f>MAX(Table11[[#This Row],[Feb]:[Dec]])</f>
        <v>97332</v>
      </c>
      <c r="O49" s="27">
        <v>97332</v>
      </c>
      <c r="Q49" s="27">
        <f>Table11[[#This Row],[Overaall Reached]]*0.48</f>
        <v>46719.360000000001</v>
      </c>
      <c r="R49" s="27">
        <f>Table11[[#This Row],[Overaall Reached]]-Table14[[#This Row],[Male]]</f>
        <v>50612.639999999999</v>
      </c>
      <c r="S49" s="27">
        <f>Table11[[#This Row],[Overaall Reached]]*0.07</f>
        <v>6813.2400000000007</v>
      </c>
    </row>
    <row r="50" spans="1:19" x14ac:dyDescent="0.25">
      <c r="A50" s="28" t="s">
        <v>171</v>
      </c>
      <c r="B50" s="29" t="s">
        <v>49</v>
      </c>
      <c r="C50" s="29">
        <v>11271</v>
      </c>
      <c r="D50" s="29">
        <v>11484</v>
      </c>
      <c r="E50" s="29">
        <v>11487</v>
      </c>
      <c r="F50" s="29"/>
      <c r="G50" s="29"/>
      <c r="H50" s="29"/>
      <c r="I50" s="29"/>
      <c r="J50" s="29"/>
      <c r="K50" s="29"/>
      <c r="L50" s="29"/>
      <c r="M50" s="29"/>
      <c r="N50" s="27">
        <f>MAX(Table11[[#This Row],[Feb]:[Dec]])</f>
        <v>11487</v>
      </c>
      <c r="O50" s="27">
        <v>11487</v>
      </c>
      <c r="Q50" s="27">
        <f>Table11[[#This Row],[Overaall Reached]]*0.48</f>
        <v>5513.76</v>
      </c>
      <c r="R50" s="27">
        <f>Table11[[#This Row],[Overaall Reached]]-Table14[[#This Row],[Male]]</f>
        <v>5973.24</v>
      </c>
      <c r="S50" s="27">
        <f>Table11[[#This Row],[Overaall Reached]]*0.07</f>
        <v>804.09</v>
      </c>
    </row>
    <row r="51" spans="1:19" x14ac:dyDescent="0.25">
      <c r="A51" s="28" t="s">
        <v>171</v>
      </c>
      <c r="B51" s="29" t="s">
        <v>98</v>
      </c>
      <c r="C51" s="29">
        <v>40942</v>
      </c>
      <c r="D51" s="29">
        <v>79526</v>
      </c>
      <c r="E51" s="29">
        <v>42945</v>
      </c>
      <c r="F51" s="29">
        <v>42945</v>
      </c>
      <c r="G51" s="29"/>
      <c r="H51" s="29">
        <v>15024</v>
      </c>
      <c r="I51" s="29">
        <v>14328</v>
      </c>
      <c r="J51" s="29"/>
      <c r="K51" s="29"/>
      <c r="L51" s="29"/>
      <c r="M51" s="29"/>
      <c r="N51" s="27">
        <f>Table11[[#This Row],[Jul]]</f>
        <v>15024</v>
      </c>
      <c r="O51" s="27">
        <f>Table11[[#This Row],[Jul]]</f>
        <v>15024</v>
      </c>
      <c r="Q51" s="27">
        <f>Table11[[#This Row],[Overaall Reached]]*0.48</f>
        <v>7211.5199999999995</v>
      </c>
      <c r="R51" s="27">
        <f>Table11[[#This Row],[Overaall Reached]]-Table14[[#This Row],[Male]]</f>
        <v>7812.4800000000005</v>
      </c>
      <c r="S51" s="27">
        <f>Table11[[#This Row],[Overaall Reached]]*0.07</f>
        <v>1051.68</v>
      </c>
    </row>
    <row r="52" spans="1:19" x14ac:dyDescent="0.25">
      <c r="A52" s="28" t="s">
        <v>171</v>
      </c>
      <c r="B52" s="29" t="s">
        <v>50</v>
      </c>
      <c r="C52" s="29"/>
      <c r="D52" s="29">
        <v>34665</v>
      </c>
      <c r="E52" s="29">
        <v>42403</v>
      </c>
      <c r="F52" s="29"/>
      <c r="G52" s="29"/>
      <c r="H52" s="29"/>
      <c r="I52" s="29"/>
      <c r="J52" s="29"/>
      <c r="K52" s="29"/>
      <c r="L52" s="29"/>
      <c r="M52" s="29"/>
      <c r="N52" s="27">
        <f>MAX(Table11[[#This Row],[Feb]:[Dec]])</f>
        <v>42403</v>
      </c>
      <c r="O52" s="27">
        <v>42403</v>
      </c>
      <c r="Q52" s="27">
        <f>Table11[[#This Row],[Overaall Reached]]*0.48</f>
        <v>20353.439999999999</v>
      </c>
      <c r="R52" s="27">
        <f>Table11[[#This Row],[Overaall Reached]]-Table14[[#This Row],[Male]]</f>
        <v>22049.56</v>
      </c>
      <c r="S52" s="27">
        <f>Table11[[#This Row],[Overaall Reached]]*0.07</f>
        <v>2968.2100000000005</v>
      </c>
    </row>
    <row r="53" spans="1:19" x14ac:dyDescent="0.25">
      <c r="A53" s="28" t="s">
        <v>171</v>
      </c>
      <c r="B53" s="29" t="s">
        <v>51</v>
      </c>
      <c r="C53" s="29">
        <v>29020</v>
      </c>
      <c r="D53" s="29">
        <v>83862</v>
      </c>
      <c r="E53" s="29">
        <v>57823</v>
      </c>
      <c r="F53" s="29">
        <v>57823</v>
      </c>
      <c r="G53" s="29">
        <v>57823</v>
      </c>
      <c r="H53" s="29">
        <v>2977</v>
      </c>
      <c r="I53" s="29">
        <v>30760</v>
      </c>
      <c r="J53" s="29"/>
      <c r="K53" s="29"/>
      <c r="L53" s="29"/>
      <c r="M53" s="29"/>
      <c r="N53" s="27">
        <f>MAX(Table11[[#This Row],[Feb]:[Dec]])</f>
        <v>83862</v>
      </c>
      <c r="O53" s="27">
        <v>57823</v>
      </c>
      <c r="Q53" s="27">
        <f>Table11[[#This Row],[Overaall Reached]]*0.48</f>
        <v>27755.039999999997</v>
      </c>
      <c r="R53" s="27">
        <f>Table11[[#This Row],[Overaall Reached]]-Table14[[#This Row],[Male]]</f>
        <v>30067.960000000003</v>
      </c>
      <c r="S53" s="27">
        <f>Table11[[#This Row],[Overaall Reached]]*0.07</f>
        <v>4047.6100000000006</v>
      </c>
    </row>
    <row r="54" spans="1:19" x14ac:dyDescent="0.25">
      <c r="A54" s="28" t="s">
        <v>171</v>
      </c>
      <c r="B54" s="29" t="s">
        <v>52</v>
      </c>
      <c r="C54" s="29">
        <v>74824</v>
      </c>
      <c r="D54" s="29">
        <v>74497</v>
      </c>
      <c r="E54" s="29">
        <v>58968</v>
      </c>
      <c r="F54" s="29">
        <v>77961</v>
      </c>
      <c r="G54" s="29">
        <v>53574</v>
      </c>
      <c r="H54" s="29">
        <v>4497</v>
      </c>
      <c r="I54" s="29">
        <v>37837</v>
      </c>
      <c r="J54" s="29"/>
      <c r="K54" s="29"/>
      <c r="L54" s="29"/>
      <c r="M54" s="29"/>
      <c r="N54" s="27">
        <f>MAX(Table11[[#This Row],[Feb]:[Dec]])</f>
        <v>77961</v>
      </c>
      <c r="O54" s="27">
        <v>77961</v>
      </c>
      <c r="Q54" s="27">
        <f>Table11[[#This Row],[Overaall Reached]]*0.48</f>
        <v>37421.279999999999</v>
      </c>
      <c r="R54" s="27">
        <f>Table11[[#This Row],[Overaall Reached]]-Table14[[#This Row],[Male]]</f>
        <v>40539.72</v>
      </c>
      <c r="S54" s="27">
        <f>Table11[[#This Row],[Overaall Reached]]*0.07</f>
        <v>5457.27</v>
      </c>
    </row>
    <row r="55" spans="1:19" x14ac:dyDescent="0.25">
      <c r="A55" s="28" t="s">
        <v>171</v>
      </c>
      <c r="B55" s="29" t="s">
        <v>53</v>
      </c>
      <c r="C55" s="29">
        <v>13532</v>
      </c>
      <c r="D55" s="29">
        <v>46975</v>
      </c>
      <c r="E55" s="29">
        <v>47248</v>
      </c>
      <c r="F55" s="29">
        <v>47367</v>
      </c>
      <c r="G55" s="29"/>
      <c r="H55" s="29"/>
      <c r="I55" s="29">
        <v>2001</v>
      </c>
      <c r="J55" s="29"/>
      <c r="K55" s="29"/>
      <c r="L55" s="29"/>
      <c r="M55" s="29"/>
      <c r="N55" s="27">
        <f>MAX(Table11[[#This Row],[Feb]:[Dec]])</f>
        <v>47367</v>
      </c>
      <c r="O55" s="27">
        <v>47367</v>
      </c>
      <c r="Q55" s="27">
        <f>Table11[[#This Row],[Overaall Reached]]*0.48</f>
        <v>22736.16</v>
      </c>
      <c r="R55" s="27">
        <f>Table11[[#This Row],[Overaall Reached]]-Table14[[#This Row],[Male]]</f>
        <v>24630.84</v>
      </c>
      <c r="S55" s="27">
        <f>Table11[[#This Row],[Overaall Reached]]*0.07</f>
        <v>3315.6900000000005</v>
      </c>
    </row>
    <row r="56" spans="1:19" x14ac:dyDescent="0.25">
      <c r="A56" s="28" t="s">
        <v>56</v>
      </c>
      <c r="B56" s="29" t="s">
        <v>172</v>
      </c>
      <c r="C56" s="29">
        <v>35150</v>
      </c>
      <c r="D56" s="29">
        <v>52256</v>
      </c>
      <c r="E56" s="29">
        <v>54281</v>
      </c>
      <c r="F56" s="29"/>
      <c r="G56" s="29"/>
      <c r="H56" s="29">
        <v>13021</v>
      </c>
      <c r="I56" s="29">
        <v>14745</v>
      </c>
      <c r="J56" s="29"/>
      <c r="K56" s="29"/>
      <c r="L56" s="29"/>
      <c r="M56" s="29"/>
      <c r="N56" s="27">
        <f>MAX(Table11[[#This Row],[Feb]:[Dec]])</f>
        <v>54281</v>
      </c>
      <c r="O56" s="27">
        <v>54281</v>
      </c>
      <c r="Q56" s="27">
        <f>Table11[[#This Row],[Overaall Reached]]*0.48</f>
        <v>26054.879999999997</v>
      </c>
      <c r="R56" s="27">
        <f>Table11[[#This Row],[Overaall Reached]]-Table14[[#This Row],[Male]]</f>
        <v>28226.120000000003</v>
      </c>
      <c r="S56" s="27">
        <f>Table11[[#This Row],[Overaall Reached]]*0.07</f>
        <v>3799.6700000000005</v>
      </c>
    </row>
    <row r="57" spans="1:19" x14ac:dyDescent="0.25">
      <c r="A57" s="28" t="s">
        <v>56</v>
      </c>
      <c r="B57" s="29" t="s">
        <v>57</v>
      </c>
      <c r="C57" s="29">
        <v>19266</v>
      </c>
      <c r="D57" s="29">
        <v>19055</v>
      </c>
      <c r="E57" s="29">
        <v>9740</v>
      </c>
      <c r="F57" s="29">
        <v>20170</v>
      </c>
      <c r="G57" s="29">
        <v>8231</v>
      </c>
      <c r="H57" s="29"/>
      <c r="I57" s="29"/>
      <c r="J57" s="29"/>
      <c r="K57" s="29"/>
      <c r="L57" s="29"/>
      <c r="M57" s="29"/>
      <c r="N57" s="27">
        <f>MAX(Table11[[#This Row],[Feb]:[Dec]])</f>
        <v>20170</v>
      </c>
      <c r="O57" s="27">
        <v>20170</v>
      </c>
      <c r="Q57" s="27">
        <f>Table11[[#This Row],[Overaall Reached]]*0.48</f>
        <v>9681.6</v>
      </c>
      <c r="R57" s="27">
        <f>Table11[[#This Row],[Overaall Reached]]-Table14[[#This Row],[Male]]</f>
        <v>10488.4</v>
      </c>
      <c r="S57" s="27">
        <f>Table11[[#This Row],[Overaall Reached]]*0.07</f>
        <v>1411.9</v>
      </c>
    </row>
    <row r="58" spans="1:19" x14ac:dyDescent="0.25">
      <c r="A58" s="28" t="s">
        <v>56</v>
      </c>
      <c r="B58" s="29" t="s">
        <v>173</v>
      </c>
      <c r="C58" s="29">
        <v>40520</v>
      </c>
      <c r="D58" s="29">
        <v>40516</v>
      </c>
      <c r="E58" s="29">
        <v>40868</v>
      </c>
      <c r="F58" s="29">
        <v>40870</v>
      </c>
      <c r="G58" s="29">
        <v>40870</v>
      </c>
      <c r="H58" s="29"/>
      <c r="I58" s="29"/>
      <c r="J58" s="29"/>
      <c r="K58" s="29"/>
      <c r="L58" s="29"/>
      <c r="M58" s="29"/>
      <c r="N58" s="27">
        <f>MAX(Table11[[#This Row],[Feb]:[Dec]])</f>
        <v>40870</v>
      </c>
      <c r="O58" s="27">
        <v>40870</v>
      </c>
      <c r="Q58" s="27">
        <f>Table11[[#This Row],[Overaall Reached]]*0.48</f>
        <v>19617.599999999999</v>
      </c>
      <c r="R58" s="27">
        <f>Table11[[#This Row],[Overaall Reached]]-Table14[[#This Row],[Male]]</f>
        <v>21252.400000000001</v>
      </c>
      <c r="S58" s="27">
        <f>Table11[[#This Row],[Overaall Reached]]*0.07</f>
        <v>2860.9</v>
      </c>
    </row>
    <row r="59" spans="1:19" x14ac:dyDescent="0.25">
      <c r="A59" s="28" t="s">
        <v>56</v>
      </c>
      <c r="B59" s="29" t="s">
        <v>60</v>
      </c>
      <c r="C59" s="29">
        <v>24979</v>
      </c>
      <c r="D59" s="29">
        <v>29851</v>
      </c>
      <c r="E59" s="29">
        <v>31312</v>
      </c>
      <c r="F59" s="29"/>
      <c r="G59" s="29"/>
      <c r="H59" s="29">
        <v>12349</v>
      </c>
      <c r="I59" s="29">
        <v>28043</v>
      </c>
      <c r="J59" s="29"/>
      <c r="K59" s="29"/>
      <c r="L59" s="29"/>
      <c r="M59" s="29"/>
      <c r="N59" s="27">
        <f>MAX(Table11[[#This Row],[Feb]:[Dec]])</f>
        <v>31312</v>
      </c>
      <c r="O59" s="27">
        <v>31312</v>
      </c>
      <c r="Q59" s="27">
        <f>Table11[[#This Row],[Overaall Reached]]*0.48</f>
        <v>15029.76</v>
      </c>
      <c r="R59" s="27">
        <f>Table11[[#This Row],[Overaall Reached]]-Table14[[#This Row],[Male]]</f>
        <v>16282.24</v>
      </c>
      <c r="S59" s="27">
        <f>Table11[[#This Row],[Overaall Reached]]*0.07</f>
        <v>2191.84</v>
      </c>
    </row>
    <row r="60" spans="1:19" x14ac:dyDescent="0.25">
      <c r="A60" s="28" t="s">
        <v>56</v>
      </c>
      <c r="B60" s="29" t="s">
        <v>58</v>
      </c>
      <c r="C60" s="29">
        <v>21821</v>
      </c>
      <c r="D60" s="29">
        <v>21838</v>
      </c>
      <c r="E60" s="29">
        <v>22038</v>
      </c>
      <c r="F60" s="29">
        <v>22298</v>
      </c>
      <c r="G60" s="29">
        <v>22142</v>
      </c>
      <c r="H60" s="29">
        <v>14947</v>
      </c>
      <c r="I60" s="29">
        <v>18497</v>
      </c>
      <c r="J60" s="29"/>
      <c r="K60" s="29"/>
      <c r="L60" s="29"/>
      <c r="M60" s="29"/>
      <c r="N60" s="27">
        <f>MAX(Table11[[#This Row],[Feb]:[Dec]])</f>
        <v>22298</v>
      </c>
      <c r="O60" s="27">
        <v>22298</v>
      </c>
      <c r="Q60" s="27">
        <f>Table11[[#This Row],[Overaall Reached]]*0.48</f>
        <v>10703.039999999999</v>
      </c>
      <c r="R60" s="27">
        <f>Table11[[#This Row],[Overaall Reached]]-Table14[[#This Row],[Male]]</f>
        <v>11594.960000000001</v>
      </c>
      <c r="S60" s="27">
        <f>Table11[[#This Row],[Overaall Reached]]*0.07</f>
        <v>1560.8600000000001</v>
      </c>
    </row>
    <row r="61" spans="1:19" x14ac:dyDescent="0.25">
      <c r="A61" s="28" t="s">
        <v>56</v>
      </c>
      <c r="B61" s="29" t="s">
        <v>61</v>
      </c>
      <c r="C61" s="29">
        <v>41828</v>
      </c>
      <c r="D61" s="29">
        <v>63943</v>
      </c>
      <c r="E61" s="29">
        <v>66572</v>
      </c>
      <c r="F61" s="29"/>
      <c r="G61" s="29">
        <v>456</v>
      </c>
      <c r="H61" s="29">
        <v>2465</v>
      </c>
      <c r="I61" s="29">
        <v>21119</v>
      </c>
      <c r="J61" s="29"/>
      <c r="K61" s="29"/>
      <c r="L61" s="29"/>
      <c r="M61" s="29"/>
      <c r="N61" s="27">
        <f>MAX(Table11[[#This Row],[Feb]:[Dec]])</f>
        <v>66572</v>
      </c>
      <c r="O61" s="27">
        <v>66572</v>
      </c>
      <c r="Q61" s="27">
        <f>Table11[[#This Row],[Overaall Reached]]*0.48</f>
        <v>31954.559999999998</v>
      </c>
      <c r="R61" s="27">
        <f>Table11[[#This Row],[Overaall Reached]]-Table14[[#This Row],[Male]]</f>
        <v>34617.440000000002</v>
      </c>
      <c r="S61" s="27">
        <f>Table11[[#This Row],[Overaall Reached]]*0.07</f>
        <v>4660.0400000000009</v>
      </c>
    </row>
    <row r="62" spans="1:19" x14ac:dyDescent="0.25">
      <c r="A62" s="28" t="s">
        <v>56</v>
      </c>
      <c r="B62" s="29" t="s">
        <v>62</v>
      </c>
      <c r="C62" s="29">
        <v>2205</v>
      </c>
      <c r="D62" s="29">
        <v>18587</v>
      </c>
      <c r="E62" s="29">
        <v>18586</v>
      </c>
      <c r="F62" s="29"/>
      <c r="G62" s="29"/>
      <c r="H62" s="29"/>
      <c r="I62" s="29"/>
      <c r="J62" s="29"/>
      <c r="K62" s="29"/>
      <c r="L62" s="29"/>
      <c r="M62" s="29"/>
      <c r="N62" s="27">
        <f>MAX(Table11[[#This Row],[Feb]:[Dec]])</f>
        <v>18587</v>
      </c>
      <c r="O62" s="27">
        <v>18587</v>
      </c>
      <c r="Q62" s="27">
        <f>Table11[[#This Row],[Overaall Reached]]*0.48</f>
        <v>8921.76</v>
      </c>
      <c r="R62" s="27">
        <f>Table11[[#This Row],[Overaall Reached]]-Table14[[#This Row],[Male]]</f>
        <v>9665.24</v>
      </c>
      <c r="S62" s="27">
        <f>Table11[[#This Row],[Overaall Reached]]*0.07</f>
        <v>1301.0900000000001</v>
      </c>
    </row>
    <row r="63" spans="1:19" x14ac:dyDescent="0.25">
      <c r="A63" s="28" t="s">
        <v>66</v>
      </c>
      <c r="B63" s="29" t="s">
        <v>67</v>
      </c>
      <c r="C63" s="29">
        <v>20481</v>
      </c>
      <c r="D63" s="29">
        <v>20897</v>
      </c>
      <c r="E63" s="29">
        <v>20897</v>
      </c>
      <c r="F63" s="29"/>
      <c r="G63" s="29"/>
      <c r="H63" s="29"/>
      <c r="I63" s="29"/>
      <c r="J63" s="29"/>
      <c r="K63" s="29"/>
      <c r="L63" s="29"/>
      <c r="M63" s="29"/>
      <c r="N63" s="27">
        <f>MAX(Table11[[#This Row],[Feb]:[Dec]])</f>
        <v>20897</v>
      </c>
      <c r="O63" s="27">
        <v>20897</v>
      </c>
      <c r="Q63" s="27">
        <f>Table11[[#This Row],[Overaall Reached]]*0.48</f>
        <v>10030.56</v>
      </c>
      <c r="R63" s="27">
        <f>Table11[[#This Row],[Overaall Reached]]-Table14[[#This Row],[Male]]</f>
        <v>10866.44</v>
      </c>
      <c r="S63" s="27">
        <f>Table11[[#This Row],[Overaall Reached]]*0.07</f>
        <v>1462.7900000000002</v>
      </c>
    </row>
    <row r="64" spans="1:19" x14ac:dyDescent="0.25">
      <c r="A64" s="28" t="s">
        <v>66</v>
      </c>
      <c r="B64" s="29" t="s">
        <v>68</v>
      </c>
      <c r="C64" s="29">
        <v>147451</v>
      </c>
      <c r="D64" s="29">
        <v>227034</v>
      </c>
      <c r="E64" s="29">
        <v>83806</v>
      </c>
      <c r="F64" s="29"/>
      <c r="G64" s="29">
        <v>4223</v>
      </c>
      <c r="H64" s="29"/>
      <c r="I64" s="29"/>
      <c r="J64" s="29"/>
      <c r="K64" s="29"/>
      <c r="L64" s="29"/>
      <c r="M64" s="29"/>
      <c r="N64" s="27">
        <f>MAX(Table11[[#This Row],[Feb]:[Dec]])</f>
        <v>227034</v>
      </c>
      <c r="O64" s="27">
        <v>227034</v>
      </c>
      <c r="Q64" s="27">
        <f>Table11[[#This Row],[Overaall Reached]]*0.48</f>
        <v>108976.31999999999</v>
      </c>
      <c r="R64" s="27">
        <f>Table11[[#This Row],[Overaall Reached]]-Table14[[#This Row],[Male]]</f>
        <v>118057.68000000001</v>
      </c>
      <c r="S64" s="27">
        <f>Table11[[#This Row],[Overaall Reached]]*0.07</f>
        <v>15892.380000000001</v>
      </c>
    </row>
    <row r="65" spans="1:19" x14ac:dyDescent="0.25">
      <c r="A65" s="28" t="s">
        <v>66</v>
      </c>
      <c r="B65" s="29" t="s">
        <v>96</v>
      </c>
      <c r="C65" s="29">
        <v>146373</v>
      </c>
      <c r="D65" s="29">
        <v>139858</v>
      </c>
      <c r="E65" s="29">
        <v>147292</v>
      </c>
      <c r="F65" s="29"/>
      <c r="G65" s="29"/>
      <c r="H65" s="29"/>
      <c r="I65" s="29"/>
      <c r="J65" s="29"/>
      <c r="K65" s="29"/>
      <c r="L65" s="29"/>
      <c r="M65" s="29"/>
      <c r="N65" s="27">
        <f>MAX(Table11[[#This Row],[Feb]:[Dec]])</f>
        <v>147292</v>
      </c>
      <c r="O65" s="27">
        <v>147292</v>
      </c>
      <c r="Q65" s="27">
        <f>Table11[[#This Row],[Overaall Reached]]*0.48</f>
        <v>70700.160000000003</v>
      </c>
      <c r="R65" s="27">
        <f>Table11[[#This Row],[Overaall Reached]]-Table14[[#This Row],[Male]]</f>
        <v>76591.839999999997</v>
      </c>
      <c r="S65" s="27">
        <f>Table11[[#This Row],[Overaall Reached]]*0.07</f>
        <v>10310.44</v>
      </c>
    </row>
    <row r="66" spans="1:19" x14ac:dyDescent="0.25">
      <c r="A66" s="28" t="s">
        <v>66</v>
      </c>
      <c r="B66" s="29" t="s">
        <v>174</v>
      </c>
      <c r="C66" s="29">
        <v>48471</v>
      </c>
      <c r="D66" s="29">
        <v>96505</v>
      </c>
      <c r="E66" s="29">
        <v>48694</v>
      </c>
      <c r="F66" s="29">
        <v>48706</v>
      </c>
      <c r="G66" s="29">
        <v>48727</v>
      </c>
      <c r="H66" s="29"/>
      <c r="I66" s="29"/>
      <c r="J66" s="29"/>
      <c r="K66" s="29"/>
      <c r="L66" s="29"/>
      <c r="M66" s="29"/>
      <c r="N66" s="27">
        <f>MAX(Table11[[#This Row],[Feb]:[Dec]])</f>
        <v>96505</v>
      </c>
      <c r="O66" s="27">
        <f>MAX(Table11[[#This Row],[Feb]:[Dec]])</f>
        <v>96505</v>
      </c>
      <c r="Q66" s="27">
        <f>Table11[[#This Row],[Overaall Reached]]*0.48</f>
        <v>46322.400000000001</v>
      </c>
      <c r="R66" s="27">
        <f>Table11[[#This Row],[Overaall Reached]]-Table14[[#This Row],[Male]]</f>
        <v>50182.6</v>
      </c>
      <c r="S66" s="27">
        <f>Table11[[#This Row],[Overaall Reached]]*0.07</f>
        <v>6755.35</v>
      </c>
    </row>
    <row r="67" spans="1:19" x14ac:dyDescent="0.25">
      <c r="A67" s="28" t="s">
        <v>66</v>
      </c>
      <c r="B67" s="29" t="s">
        <v>95</v>
      </c>
      <c r="C67" s="29">
        <v>57901</v>
      </c>
      <c r="D67" s="29">
        <v>115828</v>
      </c>
      <c r="E67" s="29">
        <v>58425</v>
      </c>
      <c r="F67" s="29">
        <v>58425</v>
      </c>
      <c r="G67" s="29"/>
      <c r="H67" s="29"/>
      <c r="I67" s="29"/>
      <c r="J67" s="29"/>
      <c r="K67" s="29"/>
      <c r="L67" s="29"/>
      <c r="M67" s="29"/>
      <c r="N67" s="27">
        <f>MAX(Table11[[#This Row],[Feb]:[Dec]])</f>
        <v>115828</v>
      </c>
      <c r="O67" s="27">
        <f>MAX(Table11[[#This Row],[Feb]:[Dec]])</f>
        <v>115828</v>
      </c>
      <c r="Q67" s="27">
        <f>Table11[[#This Row],[Overaall Reached]]*0.48</f>
        <v>55597.439999999995</v>
      </c>
      <c r="R67" s="27">
        <f>Table11[[#This Row],[Overaall Reached]]-Table14[[#This Row],[Male]]</f>
        <v>60230.560000000005</v>
      </c>
      <c r="S67" s="27">
        <f>Table11[[#This Row],[Overaall Reached]]*0.07</f>
        <v>8107.9600000000009</v>
      </c>
    </row>
    <row r="68" spans="1:19" x14ac:dyDescent="0.25">
      <c r="A68" s="28" t="s">
        <v>66</v>
      </c>
      <c r="B68" s="29" t="s">
        <v>70</v>
      </c>
      <c r="C68" s="29">
        <v>40738</v>
      </c>
      <c r="D68" s="29">
        <v>93073</v>
      </c>
      <c r="E68" s="29">
        <v>93593</v>
      </c>
      <c r="F68" s="29"/>
      <c r="G68" s="29"/>
      <c r="H68" s="29"/>
      <c r="I68" s="29"/>
      <c r="J68" s="29"/>
      <c r="K68" s="29"/>
      <c r="L68" s="29"/>
      <c r="M68" s="29"/>
      <c r="N68" s="27">
        <f>MAX(Table11[[#This Row],[Feb]:[Dec]])</f>
        <v>93593</v>
      </c>
      <c r="O68" s="27">
        <v>93593</v>
      </c>
      <c r="Q68" s="27">
        <f>Table11[[#This Row],[Overaall Reached]]*0.48</f>
        <v>44924.639999999999</v>
      </c>
      <c r="R68" s="27">
        <f>Table11[[#This Row],[Overaall Reached]]-Table14[[#This Row],[Male]]</f>
        <v>48668.36</v>
      </c>
      <c r="S68" s="27">
        <f>Table11[[#This Row],[Overaall Reached]]*0.07</f>
        <v>6551.51</v>
      </c>
    </row>
    <row r="69" spans="1:19" x14ac:dyDescent="0.25">
      <c r="A69" s="28" t="s">
        <v>66</v>
      </c>
      <c r="B69" s="29" t="s">
        <v>94</v>
      </c>
      <c r="C69" s="29">
        <v>17304</v>
      </c>
      <c r="D69" s="29">
        <v>17334</v>
      </c>
      <c r="E69" s="29">
        <v>17334</v>
      </c>
      <c r="F69" s="29"/>
      <c r="G69" s="29"/>
      <c r="H69" s="29"/>
      <c r="I69" s="29"/>
      <c r="J69" s="29"/>
      <c r="K69" s="29"/>
      <c r="L69" s="29"/>
      <c r="M69" s="29"/>
      <c r="N69" s="27">
        <f>MAX(Table11[[#This Row],[Feb]:[Dec]])</f>
        <v>17334</v>
      </c>
      <c r="O69" s="27">
        <v>17334</v>
      </c>
      <c r="Q69" s="27">
        <f>Table11[[#This Row],[Overaall Reached]]*0.48</f>
        <v>8320.32</v>
      </c>
      <c r="R69" s="27">
        <f>Table11[[#This Row],[Overaall Reached]]-Table14[[#This Row],[Male]]</f>
        <v>9013.68</v>
      </c>
      <c r="S69" s="27">
        <f>Table11[[#This Row],[Overaall Reached]]*0.07</f>
        <v>1213.3800000000001</v>
      </c>
    </row>
    <row r="70" spans="1:19" x14ac:dyDescent="0.25">
      <c r="A70" s="28" t="s">
        <v>66</v>
      </c>
      <c r="B70" s="29" t="s">
        <v>93</v>
      </c>
      <c r="C70" s="29">
        <v>27159</v>
      </c>
      <c r="D70" s="29">
        <v>86270</v>
      </c>
      <c r="E70" s="29">
        <v>96270</v>
      </c>
      <c r="F70" s="29">
        <v>42335</v>
      </c>
      <c r="G70" s="29">
        <v>42335</v>
      </c>
      <c r="H70" s="29"/>
      <c r="I70" s="29">
        <v>10253</v>
      </c>
      <c r="J70" s="29"/>
      <c r="K70" s="29"/>
      <c r="L70" s="29"/>
      <c r="M70" s="29"/>
      <c r="N70" s="27">
        <v>27159</v>
      </c>
      <c r="O70" s="27">
        <f>Table11[[#This Row],[Feb]]</f>
        <v>27159</v>
      </c>
      <c r="Q70" s="27">
        <f>Table11[[#This Row],[Overaall Reached]]*0.48</f>
        <v>13036.32</v>
      </c>
      <c r="R70" s="27">
        <f>Table11[[#This Row],[Overaall Reached]]-Table14[[#This Row],[Male]]</f>
        <v>14122.68</v>
      </c>
      <c r="S70" s="27">
        <f>Table11[[#This Row],[Overaall Reached]]*0.07</f>
        <v>1901.13</v>
      </c>
    </row>
    <row r="71" spans="1:19" x14ac:dyDescent="0.25">
      <c r="A71" s="30" t="s">
        <v>2</v>
      </c>
      <c r="B71" s="27"/>
      <c r="C71" s="30">
        <f>SUM(C2:C70)</f>
        <v>2949913.88</v>
      </c>
      <c r="D71" s="30">
        <f t="shared" ref="D71:I71" si="0">SUM(D2:D70)</f>
        <v>3015960</v>
      </c>
      <c r="E71" s="30">
        <f t="shared" si="0"/>
        <v>3805182</v>
      </c>
      <c r="F71" s="30">
        <f t="shared" si="0"/>
        <v>1970505</v>
      </c>
      <c r="G71" s="30">
        <f t="shared" si="0"/>
        <v>1319117</v>
      </c>
      <c r="H71" s="30">
        <f t="shared" si="0"/>
        <v>438879</v>
      </c>
      <c r="I71" s="30">
        <f t="shared" si="0"/>
        <v>894946</v>
      </c>
      <c r="J71" s="30"/>
      <c r="K71" s="30"/>
      <c r="L71" s="30"/>
      <c r="M71" s="30"/>
      <c r="N71" s="30">
        <f>SUM(N2:N70)</f>
        <v>4114084</v>
      </c>
      <c r="O71" s="30">
        <f>SUM(O2:O70)</f>
        <v>3918375</v>
      </c>
      <c r="Q71" s="30">
        <f>Table11[[#This Row],[Overaall Reached]]*0.48</f>
        <v>1880820</v>
      </c>
      <c r="R71" s="30">
        <f>Table11[[#This Row],[Overaall Reached]]-Table14[[#This Row],[Male]]</f>
        <v>2037555</v>
      </c>
      <c r="S71" s="30">
        <f>Table11[[#This Row],[Overaall Reached]]*0.07</f>
        <v>274286.25</v>
      </c>
    </row>
  </sheetData>
  <pageMargins left="0.7" right="0.7" top="0.75" bottom="0.75" header="0.3" footer="0.3"/>
  <ignoredErrors>
    <ignoredError sqref="N70:N71" calculatedColumn="1"/>
  </ignoredErrors>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511738050541429492867A6446820D" ma:contentTypeVersion="12" ma:contentTypeDescription="Create a new document." ma:contentTypeScope="" ma:versionID="67ca6a9b9508385719617ae73cada535">
  <xsd:schema xmlns:xsd="http://www.w3.org/2001/XMLSchema" xmlns:xs="http://www.w3.org/2001/XMLSchema" xmlns:p="http://schemas.microsoft.com/office/2006/metadata/properties" xmlns:ns2="72b83d26-e04b-4e77-8204-dd224be5487e" xmlns:ns3="741e3717-621b-44d1-9f13-cee523b329f7" targetNamespace="http://schemas.microsoft.com/office/2006/metadata/properties" ma:root="true" ma:fieldsID="f33d03b994c9a130e837afe1a8f493ce" ns2:_="" ns3:_="">
    <xsd:import namespace="72b83d26-e04b-4e77-8204-dd224be5487e"/>
    <xsd:import namespace="741e3717-621b-44d1-9f13-cee523b329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b83d26-e04b-4e77-8204-dd224be548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e3717-621b-44d1-9f13-cee523b329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5EC54-3F1A-4ECA-BB17-93CB6497E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b83d26-e04b-4e77-8204-dd224be5487e"/>
    <ds:schemaRef ds:uri="741e3717-621b-44d1-9f13-cee523b32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CA26A-C2AE-4276-B3A7-9C90879D6D60}">
  <ds:schemaRefs>
    <ds:schemaRef ds:uri="http://www.w3.org/XML/1998/namespace"/>
    <ds:schemaRef ds:uri="http://schemas.microsoft.com/office/2006/documentManagement/types"/>
    <ds:schemaRef ds:uri="72b83d26-e04b-4e77-8204-dd224be5487e"/>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741e3717-621b-44d1-9f13-cee523b329f7"/>
    <ds:schemaRef ds:uri="http://purl.org/dc/terms/"/>
  </ds:schemaRefs>
</ds:datastoreItem>
</file>

<file path=customXml/itemProps3.xml><?xml version="1.0" encoding="utf-8"?>
<ds:datastoreItem xmlns:ds="http://schemas.openxmlformats.org/officeDocument/2006/customXml" ds:itemID="{1F0A85DE-3C42-45E6-8FDF-C6FFA9313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Severity_Scale_Ref_Table_JIAF</vt:lpstr>
      <vt:lpstr>Baseline_2020 Population Proj</vt:lpstr>
      <vt:lpstr>Summary</vt:lpstr>
      <vt:lpstr>Sheet1</vt:lpstr>
      <vt:lpstr>Process</vt:lpstr>
      <vt:lpstr>Dropdown</vt:lpstr>
      <vt:lpstr>Population groups</vt:lpstr>
      <vt:lpstr>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MARINDI</cp:lastModifiedBy>
  <dcterms:created xsi:type="dcterms:W3CDTF">2020-09-10T09:10:41Z</dcterms:created>
  <dcterms:modified xsi:type="dcterms:W3CDTF">2021-06-10T09:13:04Z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0x0101008E511738050541429492867A6446820D</vt:lpwstr>
  </property>
</Properties>
</file>